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activeX/activeX8.xml" ContentType="application/vnd.ms-office.activeX+xml"/>
  <Override PartName="/xl/activeX/activeX8.bin" ContentType="application/vnd.ms-office.activeX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schme\Desktop\"/>
    </mc:Choice>
  </mc:AlternateContent>
  <xr:revisionPtr revIDLastSave="0" documentId="13_ncr:1_{6B4058C1-F851-4F17-B811-21CD9C4317E1}" xr6:coauthVersionLast="47" xr6:coauthVersionMax="47" xr10:uidLastSave="{00000000-0000-0000-0000-000000000000}"/>
  <workbookProtection workbookAlgorithmName="SHA-512" workbookHashValue="iMIfSSKzDojEPBNYVYKQfgt4tvG/K2E8WY6rQEwjcup9GRFWZbp/SyQUKC01jgOkHZMLXdwQKX9nikE4xF8Vrg==" workbookSaltValue="ll2vGJMDg85SUC8GdZxIDQ==" workbookSpinCount="100000" lockStructure="1"/>
  <bookViews>
    <workbookView xWindow="-108" yWindow="-108" windowWidth="23256" windowHeight="12456" xr2:uid="{00000000-000D-0000-FFFF-FFFF00000000}"/>
  </bookViews>
  <sheets>
    <sheet name="Entgeltvergleich" sheetId="1" r:id="rId1"/>
    <sheet name="Arbeitsplatzbeschreibung " sheetId="15" r:id="rId2"/>
    <sheet name="Jahreseinkommen" sheetId="8" r:id="rId3"/>
    <sheet name="Schichtzulagen" sheetId="14" r:id="rId4"/>
    <sheet name="LeiV-Entgelttabelle" sheetId="12" r:id="rId5"/>
    <sheet name="ERA-Entgelttabelle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S4" i="8"/>
  <c r="S6" i="8"/>
  <c r="S7" i="8"/>
  <c r="S8" i="8"/>
  <c r="S11" i="8"/>
  <c r="S12" i="8"/>
  <c r="S15" i="8"/>
  <c r="I4" i="8"/>
  <c r="I6" i="8"/>
  <c r="I7" i="8"/>
  <c r="I8" i="8"/>
  <c r="I11" i="8"/>
  <c r="I12" i="8"/>
  <c r="I15" i="8"/>
  <c r="O14" i="8"/>
  <c r="S14" i="8" s="1"/>
  <c r="O10" i="8"/>
  <c r="S10" i="8" s="1"/>
  <c r="O9" i="8"/>
  <c r="S9" i="8" s="1"/>
  <c r="O5" i="8"/>
  <c r="S5" i="8" s="1"/>
  <c r="E14" i="8"/>
  <c r="I14" i="8" s="1"/>
  <c r="E10" i="8"/>
  <c r="I10" i="8" s="1"/>
  <c r="E9" i="8"/>
  <c r="I9" i="8" s="1"/>
  <c r="E5" i="8"/>
  <c r="I5" i="8" s="1"/>
  <c r="C30" i="13"/>
  <c r="O13" i="8" s="1"/>
  <c r="S13" i="8" s="1"/>
  <c r="R15" i="8"/>
  <c r="M14" i="8"/>
  <c r="R14" i="8" s="1"/>
  <c r="R13" i="8"/>
  <c r="R12" i="8"/>
  <c r="R11" i="8"/>
  <c r="R10" i="8"/>
  <c r="M9" i="8"/>
  <c r="R9" i="8" s="1"/>
  <c r="R8" i="8"/>
  <c r="R7" i="8"/>
  <c r="R6" i="8"/>
  <c r="R5" i="8"/>
  <c r="R4" i="8"/>
  <c r="H4" i="8"/>
  <c r="H5" i="8"/>
  <c r="H6" i="8"/>
  <c r="H7" i="8"/>
  <c r="H8" i="8"/>
  <c r="H10" i="8"/>
  <c r="H11" i="8"/>
  <c r="H12" i="8"/>
  <c r="H13" i="8"/>
  <c r="H15" i="8"/>
  <c r="C14" i="8"/>
  <c r="H14" i="8" s="1"/>
  <c r="C9" i="8"/>
  <c r="H9" i="8" s="1"/>
  <c r="D14" i="1"/>
  <c r="B5" i="1"/>
  <c r="B10" i="1" s="1"/>
  <c r="B8" i="1" s="1"/>
  <c r="B7" i="1"/>
  <c r="N12" i="12"/>
  <c r="M12" i="12"/>
  <c r="L12" i="12"/>
  <c r="K12" i="12"/>
  <c r="J12" i="12"/>
  <c r="I12" i="12"/>
  <c r="H12" i="12"/>
  <c r="G12" i="12"/>
  <c r="F12" i="12"/>
  <c r="D12" i="12"/>
  <c r="C12" i="12"/>
  <c r="E11" i="12"/>
  <c r="I11" i="12" s="1"/>
  <c r="E13" i="8"/>
  <c r="I13" i="8" s="1"/>
  <c r="B2" i="1"/>
  <c r="C14" i="1"/>
  <c r="R16" i="8" l="1"/>
  <c r="K11" i="12"/>
  <c r="J11" i="12"/>
  <c r="L11" i="12"/>
  <c r="M11" i="12"/>
  <c r="N11" i="12"/>
  <c r="C11" i="12"/>
  <c r="D11" i="12"/>
  <c r="F11" i="12"/>
  <c r="E10" i="12"/>
  <c r="G11" i="12"/>
  <c r="H11" i="12"/>
  <c r="B11" i="1"/>
  <c r="I10" i="12" l="1"/>
  <c r="H10" i="12"/>
  <c r="G10" i="12"/>
  <c r="F10" i="12"/>
  <c r="E9" i="12"/>
  <c r="L10" i="12"/>
  <c r="K10" i="12"/>
  <c r="J10" i="12"/>
  <c r="D10" i="12"/>
  <c r="C10" i="12"/>
  <c r="N10" i="12"/>
  <c r="M10" i="12"/>
  <c r="L10" i="13"/>
  <c r="E10" i="13"/>
  <c r="F10" i="13"/>
  <c r="G10" i="13"/>
  <c r="H10" i="13"/>
  <c r="I10" i="13"/>
  <c r="J10" i="13"/>
  <c r="K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D10" i="13"/>
  <c r="C12" i="13"/>
  <c r="C13" i="13"/>
  <c r="C14" i="13"/>
  <c r="C15" i="13"/>
  <c r="C16" i="13"/>
  <c r="C17" i="13"/>
  <c r="C18" i="13"/>
  <c r="C19" i="13"/>
  <c r="C20" i="13"/>
  <c r="C11" i="13"/>
  <c r="C4" i="13"/>
  <c r="C5" i="13"/>
  <c r="C6" i="13"/>
  <c r="C7" i="13"/>
  <c r="C8" i="13"/>
  <c r="C9" i="13"/>
  <c r="E16" i="13" l="1"/>
  <c r="C36" i="13"/>
  <c r="J15" i="13"/>
  <c r="C35" i="13"/>
  <c r="I8" i="13"/>
  <c r="C28" i="13"/>
  <c r="H14" i="13"/>
  <c r="C34" i="13"/>
  <c r="I20" i="13"/>
  <c r="C40" i="13"/>
  <c r="G18" i="13"/>
  <c r="C38" i="13"/>
  <c r="O7" i="13"/>
  <c r="C27" i="13"/>
  <c r="H13" i="13"/>
  <c r="C33" i="13"/>
  <c r="F11" i="13"/>
  <c r="C31" i="13"/>
  <c r="M17" i="13"/>
  <c r="C37" i="13"/>
  <c r="C26" i="13"/>
  <c r="N12" i="13"/>
  <c r="C32" i="13"/>
  <c r="E4" i="13"/>
  <c r="C24" i="13"/>
  <c r="G19" i="13"/>
  <c r="C39" i="13"/>
  <c r="Q9" i="13"/>
  <c r="C29" i="13"/>
  <c r="M5" i="13"/>
  <c r="C25" i="13"/>
  <c r="K9" i="12"/>
  <c r="I9" i="12"/>
  <c r="H9" i="12"/>
  <c r="F9" i="12"/>
  <c r="E8" i="12"/>
  <c r="G9" i="12"/>
  <c r="J9" i="12"/>
  <c r="D9" i="12"/>
  <c r="C9" i="12"/>
  <c r="N9" i="12"/>
  <c r="M9" i="12"/>
  <c r="L9" i="12"/>
  <c r="AF6" i="13"/>
  <c r="AC4" i="13"/>
  <c r="Y11" i="13"/>
  <c r="U13" i="13"/>
  <c r="Q14" i="13"/>
  <c r="K4" i="13"/>
  <c r="D8" i="13"/>
  <c r="AB14" i="13"/>
  <c r="U11" i="13"/>
  <c r="G6" i="13"/>
  <c r="D7" i="13"/>
  <c r="AF4" i="13"/>
  <c r="AB12" i="13"/>
  <c r="Y6" i="13"/>
  <c r="Q4" i="13"/>
  <c r="J9" i="13"/>
  <c r="L20" i="13"/>
  <c r="D5" i="13"/>
  <c r="AE14" i="13"/>
  <c r="X11" i="13"/>
  <c r="U8" i="13"/>
  <c r="P14" i="13"/>
  <c r="J8" i="13"/>
  <c r="AG20" i="13"/>
  <c r="AE12" i="13"/>
  <c r="U7" i="13"/>
  <c r="L8" i="13"/>
  <c r="AE11" i="13"/>
  <c r="AA8" i="13"/>
  <c r="U6" i="13"/>
  <c r="O12" i="13"/>
  <c r="L7" i="13"/>
  <c r="AG7" i="13"/>
  <c r="AA7" i="13"/>
  <c r="W9" i="13"/>
  <c r="H7" i="13"/>
  <c r="L6" i="13"/>
  <c r="AG6" i="13"/>
  <c r="AE4" i="13"/>
  <c r="Z14" i="13"/>
  <c r="W8" i="13"/>
  <c r="S11" i="13"/>
  <c r="H6" i="13"/>
  <c r="L5" i="13"/>
  <c r="AF14" i="13"/>
  <c r="AD12" i="13"/>
  <c r="Z13" i="13"/>
  <c r="V15" i="13"/>
  <c r="N7" i="13"/>
  <c r="G13" i="13"/>
  <c r="L4" i="13"/>
  <c r="AF13" i="13"/>
  <c r="AD11" i="13"/>
  <c r="Z12" i="13"/>
  <c r="V14" i="13"/>
  <c r="S6" i="13"/>
  <c r="N6" i="13"/>
  <c r="G12" i="13"/>
  <c r="AF12" i="13"/>
  <c r="V13" i="13"/>
  <c r="S5" i="13"/>
  <c r="G11" i="13"/>
  <c r="AF11" i="13"/>
  <c r="Y12" i="13"/>
  <c r="X8" i="13"/>
  <c r="AE19" i="13"/>
  <c r="AE18" i="13"/>
  <c r="AF19" i="13"/>
  <c r="Z19" i="13"/>
  <c r="N19" i="13"/>
  <c r="L18" i="13"/>
  <c r="AC19" i="13"/>
  <c r="Z18" i="13"/>
  <c r="P19" i="13"/>
  <c r="AC16" i="13"/>
  <c r="AB9" i="13"/>
  <c r="L16" i="13"/>
  <c r="AG19" i="13"/>
  <c r="AC15" i="13"/>
  <c r="AB8" i="13"/>
  <c r="L15" i="13"/>
  <c r="AG18" i="13"/>
  <c r="T19" i="13"/>
  <c r="R14" i="13"/>
  <c r="P9" i="13"/>
  <c r="I13" i="13"/>
  <c r="F18" i="13"/>
  <c r="L14" i="13"/>
  <c r="AG14" i="13"/>
  <c r="AE7" i="13"/>
  <c r="AC11" i="13"/>
  <c r="AA19" i="13"/>
  <c r="X6" i="13"/>
  <c r="V8" i="13"/>
  <c r="T14" i="13"/>
  <c r="R11" i="13"/>
  <c r="P8" i="13"/>
  <c r="M12" i="13"/>
  <c r="L13" i="13"/>
  <c r="D19" i="13"/>
  <c r="AG13" i="13"/>
  <c r="AF8" i="13"/>
  <c r="AE6" i="13"/>
  <c r="AA14" i="13"/>
  <c r="Z8" i="13"/>
  <c r="X5" i="13"/>
  <c r="V6" i="13"/>
  <c r="T13" i="13"/>
  <c r="P7" i="13"/>
  <c r="M11" i="13"/>
  <c r="H20" i="13"/>
  <c r="F6" i="13"/>
  <c r="L12" i="13"/>
  <c r="D14" i="13"/>
  <c r="AG11" i="13"/>
  <c r="AF7" i="13"/>
  <c r="AE5" i="13"/>
  <c r="AC7" i="13"/>
  <c r="AA13" i="13"/>
  <c r="Z7" i="13"/>
  <c r="X4" i="13"/>
  <c r="U20" i="13"/>
  <c r="T12" i="13"/>
  <c r="Q19" i="13"/>
  <c r="O19" i="13"/>
  <c r="H19" i="13"/>
  <c r="F5" i="13"/>
  <c r="L11" i="13"/>
  <c r="AB19" i="13"/>
  <c r="S19" i="13"/>
  <c r="S18" i="13"/>
  <c r="L19" i="13"/>
  <c r="N18" i="13"/>
  <c r="L17" i="13"/>
  <c r="I15" i="13"/>
  <c r="I14" i="13"/>
  <c r="AE9" i="13"/>
  <c r="AC14" i="13"/>
  <c r="AB7" i="13"/>
  <c r="D13" i="13"/>
  <c r="AA12" i="13"/>
  <c r="Z6" i="13"/>
  <c r="W13" i="13"/>
  <c r="U19" i="13"/>
  <c r="T11" i="13"/>
  <c r="Q16" i="13"/>
  <c r="O14" i="13"/>
  <c r="E11" i="13"/>
  <c r="D12" i="13"/>
  <c r="AG8" i="13"/>
  <c r="AD14" i="13"/>
  <c r="AB20" i="13"/>
  <c r="Y13" i="13"/>
  <c r="W11" i="13"/>
  <c r="U14" i="13"/>
  <c r="Q15" i="13"/>
  <c r="O13" i="13"/>
  <c r="K5" i="13"/>
  <c r="H8" i="13"/>
  <c r="L9" i="13"/>
  <c r="F17" i="13"/>
  <c r="V20" i="13"/>
  <c r="D18" i="13"/>
  <c r="D6" i="13"/>
  <c r="AG12" i="13"/>
  <c r="AF17" i="13"/>
  <c r="AF5" i="13"/>
  <c r="AD15" i="13"/>
  <c r="AC20" i="13"/>
  <c r="AC8" i="13"/>
  <c r="AB13" i="13"/>
  <c r="AA18" i="13"/>
  <c r="AA6" i="13"/>
  <c r="Z11" i="13"/>
  <c r="Y16" i="13"/>
  <c r="Y4" i="13"/>
  <c r="X9" i="13"/>
  <c r="W14" i="13"/>
  <c r="V19" i="13"/>
  <c r="V7" i="13"/>
  <c r="U12" i="13"/>
  <c r="T17" i="13"/>
  <c r="T5" i="13"/>
  <c r="R15" i="13"/>
  <c r="Q20" i="13"/>
  <c r="Q8" i="13"/>
  <c r="P13" i="13"/>
  <c r="O18" i="13"/>
  <c r="O6" i="13"/>
  <c r="N11" i="13"/>
  <c r="M16" i="13"/>
  <c r="M4" i="13"/>
  <c r="K9" i="13"/>
  <c r="J14" i="13"/>
  <c r="I19" i="13"/>
  <c r="I7" i="13"/>
  <c r="H12" i="13"/>
  <c r="G17" i="13"/>
  <c r="G5" i="13"/>
  <c r="E15" i="13"/>
  <c r="AA17" i="13"/>
  <c r="AA5" i="13"/>
  <c r="Y15" i="13"/>
  <c r="X20" i="13"/>
  <c r="V18" i="13"/>
  <c r="T16" i="13"/>
  <c r="T4" i="13"/>
  <c r="S9" i="13"/>
  <c r="Q7" i="13"/>
  <c r="P12" i="13"/>
  <c r="O17" i="13"/>
  <c r="O5" i="13"/>
  <c r="M15" i="13"/>
  <c r="K20" i="13"/>
  <c r="K8" i="13"/>
  <c r="J13" i="13"/>
  <c r="I18" i="13"/>
  <c r="I6" i="13"/>
  <c r="H11" i="13"/>
  <c r="G16" i="13"/>
  <c r="G4" i="13"/>
  <c r="F9" i="13"/>
  <c r="E14" i="13"/>
  <c r="D16" i="13"/>
  <c r="D4" i="13"/>
  <c r="AF15" i="13"/>
  <c r="AE20" i="13"/>
  <c r="AE8" i="13"/>
  <c r="AD13" i="13"/>
  <c r="AC18" i="13"/>
  <c r="AC6" i="13"/>
  <c r="AB11" i="13"/>
  <c r="AA16" i="13"/>
  <c r="AA4" i="13"/>
  <c r="Z9" i="13"/>
  <c r="Y14" i="13"/>
  <c r="X19" i="13"/>
  <c r="X7" i="13"/>
  <c r="W12" i="13"/>
  <c r="V17" i="13"/>
  <c r="V5" i="13"/>
  <c r="T15" i="13"/>
  <c r="S20" i="13"/>
  <c r="S8" i="13"/>
  <c r="R13" i="13"/>
  <c r="Q18" i="13"/>
  <c r="Q6" i="13"/>
  <c r="P11" i="13"/>
  <c r="O16" i="13"/>
  <c r="O4" i="13"/>
  <c r="N9" i="13"/>
  <c r="M14" i="13"/>
  <c r="K19" i="13"/>
  <c r="K7" i="13"/>
  <c r="J12" i="13"/>
  <c r="I17" i="13"/>
  <c r="I5" i="13"/>
  <c r="G15" i="13"/>
  <c r="F20" i="13"/>
  <c r="F8" i="13"/>
  <c r="E13" i="13"/>
  <c r="D17" i="13"/>
  <c r="AF16" i="13"/>
  <c r="D15" i="13"/>
  <c r="AG9" i="13"/>
  <c r="AC17" i="13"/>
  <c r="AC5" i="13"/>
  <c r="AA15" i="13"/>
  <c r="Z20" i="13"/>
  <c r="X18" i="13"/>
  <c r="V16" i="13"/>
  <c r="V4" i="13"/>
  <c r="U9" i="13"/>
  <c r="S7" i="13"/>
  <c r="R12" i="13"/>
  <c r="Q17" i="13"/>
  <c r="Q5" i="13"/>
  <c r="O15" i="13"/>
  <c r="N20" i="13"/>
  <c r="N8" i="13"/>
  <c r="M13" i="13"/>
  <c r="K18" i="13"/>
  <c r="K6" i="13"/>
  <c r="J11" i="13"/>
  <c r="I16" i="13"/>
  <c r="I4" i="13"/>
  <c r="H9" i="13"/>
  <c r="G14" i="13"/>
  <c r="F19" i="13"/>
  <c r="F7" i="13"/>
  <c r="E12" i="13"/>
  <c r="X17" i="13"/>
  <c r="X16" i="13"/>
  <c r="AD9" i="13"/>
  <c r="Z17" i="13"/>
  <c r="Z5" i="13"/>
  <c r="U18" i="13"/>
  <c r="N17" i="13"/>
  <c r="N5" i="13"/>
  <c r="F16" i="13"/>
  <c r="F4" i="13"/>
  <c r="E9" i="13"/>
  <c r="D11" i="13"/>
  <c r="AG17" i="13"/>
  <c r="AG5" i="13"/>
  <c r="AE15" i="13"/>
  <c r="AD20" i="13"/>
  <c r="AD8" i="13"/>
  <c r="AC13" i="13"/>
  <c r="AB18" i="13"/>
  <c r="AB6" i="13"/>
  <c r="AA11" i="13"/>
  <c r="Z16" i="13"/>
  <c r="Z4" i="13"/>
  <c r="Y9" i="13"/>
  <c r="X14" i="13"/>
  <c r="W19" i="13"/>
  <c r="W7" i="13"/>
  <c r="V12" i="13"/>
  <c r="U17" i="13"/>
  <c r="U5" i="13"/>
  <c r="S15" i="13"/>
  <c r="R20" i="13"/>
  <c r="R8" i="13"/>
  <c r="Q13" i="13"/>
  <c r="P18" i="13"/>
  <c r="P6" i="13"/>
  <c r="O11" i="13"/>
  <c r="N16" i="13"/>
  <c r="N4" i="13"/>
  <c r="M9" i="13"/>
  <c r="K14" i="13"/>
  <c r="J19" i="13"/>
  <c r="J7" i="13"/>
  <c r="I12" i="13"/>
  <c r="H17" i="13"/>
  <c r="H5" i="13"/>
  <c r="F15" i="13"/>
  <c r="E20" i="13"/>
  <c r="E8" i="13"/>
  <c r="S17" i="13"/>
  <c r="K16" i="13"/>
  <c r="AE16" i="13"/>
  <c r="X15" i="13"/>
  <c r="W20" i="13"/>
  <c r="S16" i="13"/>
  <c r="K15" i="13"/>
  <c r="J20" i="13"/>
  <c r="H18" i="13"/>
  <c r="AG16" i="13"/>
  <c r="AG4" i="13"/>
  <c r="AF9" i="13"/>
  <c r="AD19" i="13"/>
  <c r="AD7" i="13"/>
  <c r="AC12" i="13"/>
  <c r="AB17" i="13"/>
  <c r="AB5" i="13"/>
  <c r="Z15" i="13"/>
  <c r="Y20" i="13"/>
  <c r="Y8" i="13"/>
  <c r="X13" i="13"/>
  <c r="W18" i="13"/>
  <c r="W6" i="13"/>
  <c r="V11" i="13"/>
  <c r="U16" i="13"/>
  <c r="U4" i="13"/>
  <c r="T9" i="13"/>
  <c r="S14" i="13"/>
  <c r="R19" i="13"/>
  <c r="R7" i="13"/>
  <c r="Q12" i="13"/>
  <c r="P17" i="13"/>
  <c r="P5" i="13"/>
  <c r="N15" i="13"/>
  <c r="M20" i="13"/>
  <c r="M8" i="13"/>
  <c r="K13" i="13"/>
  <c r="J18" i="13"/>
  <c r="J6" i="13"/>
  <c r="I11" i="13"/>
  <c r="H16" i="13"/>
  <c r="H4" i="13"/>
  <c r="G9" i="13"/>
  <c r="F14" i="13"/>
  <c r="E19" i="13"/>
  <c r="E7" i="13"/>
  <c r="P20" i="13"/>
  <c r="S4" i="13"/>
  <c r="R9" i="13"/>
  <c r="D9" i="13"/>
  <c r="AG15" i="13"/>
  <c r="AF20" i="13"/>
  <c r="AE13" i="13"/>
  <c r="AD18" i="13"/>
  <c r="AD6" i="13"/>
  <c r="AB16" i="13"/>
  <c r="AB4" i="13"/>
  <c r="AA9" i="13"/>
  <c r="Y19" i="13"/>
  <c r="Y7" i="13"/>
  <c r="X12" i="13"/>
  <c r="W17" i="13"/>
  <c r="W5" i="13"/>
  <c r="U15" i="13"/>
  <c r="T20" i="13"/>
  <c r="T8" i="13"/>
  <c r="S13" i="13"/>
  <c r="R18" i="13"/>
  <c r="R6" i="13"/>
  <c r="Q11" i="13"/>
  <c r="P16" i="13"/>
  <c r="P4" i="13"/>
  <c r="O9" i="13"/>
  <c r="N14" i="13"/>
  <c r="M19" i="13"/>
  <c r="M7" i="13"/>
  <c r="K12" i="13"/>
  <c r="J17" i="13"/>
  <c r="J5" i="13"/>
  <c r="H15" i="13"/>
  <c r="G20" i="13"/>
  <c r="G8" i="13"/>
  <c r="F13" i="13"/>
  <c r="E18" i="13"/>
  <c r="E6" i="13"/>
  <c r="K17" i="13"/>
  <c r="AD17" i="13"/>
  <c r="AD5" i="13"/>
  <c r="AB15" i="13"/>
  <c r="AA20" i="13"/>
  <c r="Y18" i="13"/>
  <c r="W16" i="13"/>
  <c r="W4" i="13"/>
  <c r="V9" i="13"/>
  <c r="T7" i="13"/>
  <c r="S12" i="13"/>
  <c r="R17" i="13"/>
  <c r="R5" i="13"/>
  <c r="P15" i="13"/>
  <c r="O20" i="13"/>
  <c r="O8" i="13"/>
  <c r="N13" i="13"/>
  <c r="M18" i="13"/>
  <c r="M6" i="13"/>
  <c r="K11" i="13"/>
  <c r="J16" i="13"/>
  <c r="J4" i="13"/>
  <c r="I9" i="13"/>
  <c r="G7" i="13"/>
  <c r="F12" i="13"/>
  <c r="E17" i="13"/>
  <c r="E5" i="13"/>
  <c r="AE17" i="13"/>
  <c r="D20" i="13"/>
  <c r="AF18" i="13"/>
  <c r="AD16" i="13"/>
  <c r="AD4" i="13"/>
  <c r="AC9" i="13"/>
  <c r="Y17" i="13"/>
  <c r="Y5" i="13"/>
  <c r="W15" i="13"/>
  <c r="T18" i="13"/>
  <c r="T6" i="13"/>
  <c r="R16" i="13"/>
  <c r="R4" i="13"/>
  <c r="I16" i="8" l="1"/>
  <c r="J8" i="12"/>
  <c r="I8" i="12"/>
  <c r="H8" i="12"/>
  <c r="G8" i="12"/>
  <c r="F8" i="12"/>
  <c r="E7" i="12"/>
  <c r="L8" i="12"/>
  <c r="K8" i="12"/>
  <c r="D8" i="12"/>
  <c r="C8" i="12"/>
  <c r="N8" i="12"/>
  <c r="M8" i="12"/>
  <c r="C7" i="1"/>
  <c r="S16" i="8" l="1"/>
  <c r="I7" i="12"/>
  <c r="H7" i="12"/>
  <c r="G7" i="12"/>
  <c r="E6" i="12"/>
  <c r="F7" i="12"/>
  <c r="K7" i="12"/>
  <c r="J7" i="12"/>
  <c r="D7" i="12"/>
  <c r="C7" i="12"/>
  <c r="N7" i="12"/>
  <c r="M7" i="12"/>
  <c r="L7" i="12"/>
  <c r="C10" i="1"/>
  <c r="C8" i="1" l="1"/>
  <c r="D8" i="1" s="1"/>
  <c r="D10" i="1" s="1"/>
  <c r="C11" i="1"/>
  <c r="I6" i="12"/>
  <c r="H6" i="12"/>
  <c r="G6" i="12"/>
  <c r="F6" i="12"/>
  <c r="E5" i="12"/>
  <c r="L6" i="12"/>
  <c r="D6" i="12"/>
  <c r="C6" i="12"/>
  <c r="N6" i="12"/>
  <c r="M6" i="12"/>
  <c r="K6" i="12"/>
  <c r="J6" i="12"/>
  <c r="C13" i="1"/>
  <c r="C17" i="1"/>
  <c r="C15" i="1"/>
  <c r="C12" i="1"/>
  <c r="D5" i="1" l="1"/>
  <c r="D11" i="1"/>
  <c r="I5" i="12"/>
  <c r="H5" i="12"/>
  <c r="G5" i="12"/>
  <c r="F5" i="12"/>
  <c r="E4" i="12"/>
  <c r="K5" i="12"/>
  <c r="J5" i="12"/>
  <c r="D5" i="12"/>
  <c r="C5" i="12"/>
  <c r="N5" i="12"/>
  <c r="M5" i="12"/>
  <c r="L5" i="12"/>
  <c r="C16" i="1"/>
  <c r="C18" i="1" s="1"/>
  <c r="I4" i="12" l="1"/>
  <c r="H4" i="12"/>
  <c r="G4" i="12"/>
  <c r="F4" i="12"/>
  <c r="L4" i="12"/>
  <c r="K4" i="12"/>
  <c r="J4" i="12"/>
  <c r="D4" i="12"/>
  <c r="C4" i="12"/>
  <c r="N4" i="12"/>
  <c r="M4" i="12"/>
  <c r="D24" i="12"/>
  <c r="C24" i="12" l="1"/>
  <c r="E24" i="12" l="1"/>
  <c r="H16" i="12" l="1"/>
  <c r="E16" i="12"/>
  <c r="D16" i="12"/>
  <c r="F24" i="12"/>
  <c r="D20" i="12"/>
  <c r="F16" i="12" l="1"/>
  <c r="C16" i="12"/>
  <c r="D21" i="12"/>
  <c r="C20" i="12"/>
  <c r="G16" i="12"/>
  <c r="G24" i="12"/>
  <c r="D19" i="12"/>
  <c r="D22" i="12"/>
  <c r="H16" i="8" l="1"/>
  <c r="H24" i="12"/>
  <c r="B17" i="1"/>
  <c r="B12" i="1"/>
  <c r="C21" i="12"/>
  <c r="C19" i="12"/>
  <c r="D18" i="12"/>
  <c r="E20" i="12"/>
  <c r="B16" i="1" l="1"/>
  <c r="B18" i="1" s="1"/>
  <c r="C22" i="12"/>
  <c r="F20" i="12"/>
  <c r="C18" i="12"/>
  <c r="D23" i="12"/>
  <c r="D17" i="12"/>
  <c r="E19" i="12"/>
  <c r="E21" i="12" l="1"/>
  <c r="C23" i="12"/>
  <c r="F19" i="12"/>
  <c r="C17" i="12"/>
  <c r="E22" i="12"/>
  <c r="H20" i="12"/>
  <c r="G20" i="12"/>
  <c r="E18" i="12" l="1"/>
  <c r="F21" i="12"/>
  <c r="F18" i="12"/>
  <c r="E17" i="12"/>
  <c r="G19" i="12"/>
  <c r="F22" i="12" l="1"/>
  <c r="G21" i="12"/>
  <c r="E23" i="12"/>
  <c r="F17" i="12" l="1"/>
  <c r="F23" i="12"/>
  <c r="G18" i="12"/>
  <c r="G22" i="12"/>
  <c r="H18" i="12"/>
  <c r="H21" i="12"/>
  <c r="H19" i="12"/>
  <c r="H22" i="12" l="1"/>
  <c r="G17" i="12"/>
  <c r="G23" i="12"/>
  <c r="H17" i="12"/>
  <c r="H23" i="12" l="1"/>
  <c r="D12" i="1"/>
  <c r="D15" i="1"/>
  <c r="D13" i="1"/>
  <c r="D7" i="1"/>
  <c r="D17" i="1"/>
  <c r="D16" i="1" l="1"/>
  <c r="D18" i="1" s="1"/>
  <c r="AD39" i="13"/>
  <c r="M39" i="13"/>
  <c r="AB39" i="13"/>
  <c r="D39" i="13"/>
  <c r="X39" i="13"/>
  <c r="AF39" i="13"/>
  <c r="Y39" i="13"/>
  <c r="AE39" i="13"/>
  <c r="P39" i="13"/>
  <c r="AC39" i="13"/>
  <c r="L39" i="13"/>
  <c r="K39" i="13"/>
  <c r="AG39" i="13"/>
  <c r="W39" i="13"/>
  <c r="Z39" i="13"/>
  <c r="V39" i="13"/>
  <c r="AA39" i="13"/>
  <c r="T39" i="13"/>
  <c r="O39" i="13"/>
  <c r="E39" i="13"/>
  <c r="J39" i="13"/>
  <c r="G39" i="13"/>
  <c r="U39" i="13"/>
  <c r="S39" i="13"/>
  <c r="I39" i="13"/>
  <c r="F39" i="13"/>
  <c r="N39" i="13"/>
  <c r="Q39" i="13"/>
  <c r="H39" i="13"/>
  <c r="R39" i="13"/>
  <c r="Q40" i="13"/>
  <c r="AE40" i="13"/>
  <c r="V40" i="13"/>
  <c r="N40" i="13"/>
  <c r="F40" i="13"/>
  <c r="W40" i="13"/>
  <c r="D40" i="13"/>
  <c r="M40" i="13"/>
  <c r="I40" i="13"/>
  <c r="R40" i="13"/>
  <c r="E40" i="13"/>
  <c r="S40" i="13"/>
  <c r="L40" i="13"/>
  <c r="P40" i="13"/>
  <c r="O40" i="13"/>
  <c r="AC40" i="13"/>
  <c r="AG40" i="13"/>
  <c r="G40" i="13"/>
  <c r="AD40" i="13"/>
  <c r="Z40" i="13"/>
  <c r="H40" i="13"/>
  <c r="U40" i="13"/>
  <c r="AA40" i="13"/>
  <c r="X40" i="13"/>
  <c r="Y40" i="13"/>
  <c r="AB40" i="13"/>
  <c r="J40" i="13"/>
  <c r="T40" i="13"/>
  <c r="K40" i="13"/>
  <c r="AF40" i="13"/>
  <c r="AG38" i="13"/>
  <c r="R38" i="13"/>
  <c r="X38" i="13"/>
  <c r="V38" i="13"/>
  <c r="P38" i="13"/>
  <c r="AD38" i="13"/>
  <c r="M38" i="13"/>
  <c r="N38" i="13"/>
  <c r="I38" i="13"/>
  <c r="S38" i="13"/>
  <c r="D38" i="13"/>
  <c r="U38" i="13"/>
  <c r="AB38" i="13"/>
  <c r="J38" i="13"/>
  <c r="H38" i="13"/>
  <c r="K38" i="13"/>
  <c r="T38" i="13"/>
  <c r="O38" i="13"/>
  <c r="E38" i="13"/>
  <c r="AE38" i="13"/>
  <c r="W38" i="13"/>
  <c r="Y38" i="13"/>
  <c r="AF38" i="13"/>
  <c r="G38" i="13"/>
  <c r="F38" i="13"/>
  <c r="Q38" i="13"/>
  <c r="AA38" i="13"/>
  <c r="Z38" i="13"/>
  <c r="L38" i="13"/>
  <c r="AC38" i="13"/>
  <c r="W37" i="13"/>
  <c r="U37" i="13"/>
  <c r="N37" i="13"/>
  <c r="O37" i="13"/>
  <c r="J37" i="13"/>
  <c r="S37" i="13"/>
  <c r="D37" i="13"/>
  <c r="M37" i="13"/>
  <c r="R37" i="13"/>
  <c r="AG37" i="13"/>
  <c r="L37" i="13"/>
  <c r="T37" i="13"/>
  <c r="X37" i="13"/>
  <c r="V37" i="13"/>
  <c r="I37" i="13"/>
  <c r="K37" i="13"/>
  <c r="Z37" i="13"/>
  <c r="AE37" i="13"/>
  <c r="AB37" i="13"/>
  <c r="P37" i="13"/>
  <c r="G37" i="13"/>
  <c r="Q37" i="13"/>
  <c r="E37" i="13"/>
  <c r="AA37" i="13"/>
  <c r="F37" i="13"/>
  <c r="Y37" i="13"/>
  <c r="AC37" i="13"/>
  <c r="AF37" i="13"/>
  <c r="AD37" i="13"/>
  <c r="H37" i="13"/>
  <c r="J36" i="13"/>
  <c r="AB36" i="13"/>
  <c r="AE36" i="13"/>
  <c r="W36" i="13"/>
  <c r="V36" i="13"/>
  <c r="D36" i="13"/>
  <c r="L36" i="13"/>
  <c r="N36" i="13"/>
  <c r="K36" i="13"/>
  <c r="E36" i="13"/>
  <c r="I36" i="13"/>
  <c r="Z36" i="13"/>
  <c r="O36" i="13"/>
  <c r="U36" i="13"/>
  <c r="AA36" i="13"/>
  <c r="AF36" i="13"/>
  <c r="H36" i="13"/>
  <c r="Y36" i="13"/>
  <c r="AC36" i="13"/>
  <c r="AG36" i="13"/>
  <c r="S36" i="13"/>
  <c r="M36" i="13"/>
  <c r="T36" i="13"/>
  <c r="R36" i="13"/>
  <c r="G36" i="13"/>
  <c r="Q36" i="13"/>
  <c r="F36" i="13"/>
  <c r="X36" i="13"/>
  <c r="AD36" i="13"/>
  <c r="P36" i="13"/>
  <c r="X35" i="13"/>
  <c r="AF35" i="13"/>
  <c r="AA35" i="13"/>
  <c r="Z35" i="13"/>
  <c r="V35" i="13"/>
  <c r="F35" i="13"/>
  <c r="I35" i="13"/>
  <c r="H35" i="13"/>
  <c r="U35" i="13"/>
  <c r="AC35" i="13"/>
  <c r="W35" i="13"/>
  <c r="AG35" i="13"/>
  <c r="T35" i="13"/>
  <c r="E35" i="13"/>
  <c r="AB35" i="13"/>
  <c r="O35" i="13"/>
  <c r="M35" i="13"/>
  <c r="Q35" i="13"/>
  <c r="AD35" i="13"/>
  <c r="G35" i="13"/>
  <c r="L35" i="13"/>
  <c r="D35" i="13"/>
  <c r="S35" i="13"/>
  <c r="K35" i="13"/>
  <c r="P35" i="13"/>
  <c r="J35" i="13"/>
  <c r="Y35" i="13"/>
  <c r="N35" i="13"/>
  <c r="R35" i="13"/>
  <c r="AE35" i="13"/>
  <c r="Y34" i="13"/>
  <c r="G34" i="13"/>
  <c r="L34" i="13"/>
  <c r="O34" i="13"/>
  <c r="R34" i="13"/>
  <c r="V34" i="13"/>
  <c r="K34" i="13"/>
  <c r="Z34" i="13"/>
  <c r="F34" i="13"/>
  <c r="J34" i="13"/>
  <c r="N34" i="13"/>
  <c r="U34" i="13"/>
  <c r="I34" i="13"/>
  <c r="E34" i="13"/>
  <c r="AC34" i="13"/>
  <c r="D34" i="13"/>
  <c r="AG34" i="13"/>
  <c r="Q34" i="13"/>
  <c r="P34" i="13"/>
  <c r="T34" i="13"/>
  <c r="H34" i="13"/>
  <c r="W34" i="13"/>
  <c r="AA34" i="13"/>
  <c r="AF34" i="13"/>
  <c r="X34" i="13"/>
  <c r="M34" i="13"/>
  <c r="S34" i="13"/>
  <c r="AE34" i="13"/>
  <c r="AB34" i="13"/>
  <c r="AD34" i="13"/>
  <c r="N32" i="13"/>
  <c r="X32" i="13"/>
  <c r="W32" i="13"/>
  <c r="K32" i="13"/>
  <c r="E32" i="13"/>
  <c r="F32" i="13"/>
  <c r="AC32" i="13"/>
  <c r="S32" i="13"/>
  <c r="V32" i="13"/>
  <c r="O32" i="13"/>
  <c r="I32" i="13"/>
  <c r="AG32" i="13"/>
  <c r="D32" i="13"/>
  <c r="AF32" i="13"/>
  <c r="AA32" i="13"/>
  <c r="AE32" i="13"/>
  <c r="M32" i="13"/>
  <c r="Z32" i="13"/>
  <c r="AD32" i="13"/>
  <c r="P32" i="13"/>
  <c r="U32" i="13"/>
  <c r="AB32" i="13"/>
  <c r="L32" i="13"/>
  <c r="J32" i="13"/>
  <c r="T32" i="13"/>
  <c r="G32" i="13"/>
  <c r="H32" i="13"/>
  <c r="Y32" i="13"/>
  <c r="R32" i="13"/>
  <c r="Q32" i="13"/>
  <c r="Q29" i="13"/>
  <c r="AG29" i="13"/>
  <c r="D29" i="13"/>
  <c r="J29" i="13"/>
  <c r="AA29" i="13"/>
  <c r="Z29" i="13"/>
  <c r="AC29" i="13"/>
  <c r="T29" i="13"/>
  <c r="W29" i="13"/>
  <c r="I29" i="13"/>
  <c r="AD29" i="13"/>
  <c r="G29" i="13"/>
  <c r="V29" i="13"/>
  <c r="Y29" i="13"/>
  <c r="AB29" i="13"/>
  <c r="AF29" i="13"/>
  <c r="U29" i="13"/>
  <c r="H29" i="13"/>
  <c r="S29" i="13"/>
  <c r="P29" i="13"/>
  <c r="X29" i="13"/>
  <c r="K29" i="13"/>
  <c r="F29" i="13"/>
  <c r="N29" i="13"/>
  <c r="O29" i="13"/>
  <c r="E29" i="13"/>
  <c r="AE29" i="13"/>
  <c r="M29" i="13"/>
  <c r="R29" i="13"/>
  <c r="L29" i="13"/>
  <c r="Q30" i="13"/>
  <c r="W30" i="13"/>
  <c r="G30" i="13"/>
  <c r="P30" i="13"/>
  <c r="AG30" i="13"/>
  <c r="Z30" i="13"/>
  <c r="H30" i="13"/>
  <c r="AB30" i="13"/>
  <c r="N30" i="13"/>
  <c r="AE30" i="13"/>
  <c r="AC30" i="13"/>
  <c r="I30" i="13"/>
  <c r="D30" i="13"/>
  <c r="O30" i="13"/>
  <c r="Y30" i="13"/>
  <c r="E30" i="13"/>
  <c r="T30" i="13"/>
  <c r="AA30" i="13"/>
  <c r="K30" i="13"/>
  <c r="S30" i="13"/>
  <c r="V30" i="13"/>
  <c r="L30" i="13"/>
  <c r="R30" i="13"/>
  <c r="AF30" i="13"/>
  <c r="X30" i="13"/>
  <c r="AD30" i="13"/>
  <c r="M30" i="13"/>
  <c r="J30" i="13"/>
  <c r="U30" i="13"/>
  <c r="F30" i="13"/>
  <c r="X28" i="13"/>
  <c r="AC28" i="13"/>
  <c r="R28" i="13"/>
  <c r="T28" i="13"/>
  <c r="W28" i="13"/>
  <c r="P28" i="13"/>
  <c r="AE28" i="13"/>
  <c r="V28" i="13"/>
  <c r="N28" i="13"/>
  <c r="AD28" i="13"/>
  <c r="U28" i="13"/>
  <c r="M28" i="13"/>
  <c r="AB28" i="13"/>
  <c r="S28" i="13"/>
  <c r="L28" i="13"/>
  <c r="Q28" i="13"/>
  <c r="D28" i="13"/>
  <c r="I28" i="13"/>
  <c r="AA28" i="13"/>
  <c r="F28" i="13"/>
  <c r="Y28" i="13"/>
  <c r="J28" i="13"/>
  <c r="E28" i="13"/>
  <c r="K28" i="13"/>
  <c r="AG28" i="13"/>
  <c r="O28" i="13"/>
  <c r="AF28" i="13"/>
  <c r="Z28" i="13"/>
  <c r="H28" i="13"/>
  <c r="G28" i="13"/>
  <c r="D27" i="13"/>
  <c r="R27" i="13"/>
  <c r="AA27" i="13"/>
  <c r="AB27" i="13"/>
  <c r="AF27" i="13"/>
  <c r="X27" i="13"/>
  <c r="I27" i="13"/>
  <c r="J27" i="13"/>
  <c r="U27" i="13"/>
  <c r="W27" i="13"/>
  <c r="Z27" i="13"/>
  <c r="V27" i="13"/>
  <c r="H27" i="13"/>
  <c r="K27" i="13"/>
  <c r="G27" i="13"/>
  <c r="P27" i="13"/>
  <c r="Y27" i="13"/>
  <c r="T27" i="13"/>
  <c r="N27" i="13"/>
  <c r="O27" i="13"/>
  <c r="F27" i="13"/>
  <c r="M27" i="13"/>
  <c r="E27" i="13"/>
  <c r="AD27" i="13"/>
  <c r="AG27" i="13"/>
  <c r="L27" i="13"/>
  <c r="Q27" i="13"/>
  <c r="S27" i="13"/>
  <c r="AE27" i="13"/>
  <c r="AC27" i="13"/>
  <c r="V33" i="13"/>
  <c r="AE33" i="13"/>
  <c r="AB33" i="13"/>
  <c r="Y33" i="13"/>
  <c r="K33" i="13"/>
  <c r="X33" i="13"/>
  <c r="N33" i="13"/>
  <c r="T33" i="13"/>
  <c r="G33" i="13"/>
  <c r="M33" i="13"/>
  <c r="I33" i="13"/>
  <c r="W33" i="13"/>
  <c r="O33" i="13"/>
  <c r="AG33" i="13"/>
  <c r="AC33" i="13"/>
  <c r="AF33" i="13"/>
  <c r="E33" i="13"/>
  <c r="AA33" i="13"/>
  <c r="J33" i="13"/>
  <c r="Z33" i="13"/>
  <c r="D33" i="13"/>
  <c r="F33" i="13"/>
  <c r="L33" i="13"/>
  <c r="R33" i="13"/>
  <c r="Q33" i="13"/>
  <c r="P33" i="13"/>
  <c r="AD33" i="13"/>
  <c r="S33" i="13"/>
  <c r="H33" i="13"/>
  <c r="U33" i="13"/>
  <c r="AB31" i="13"/>
  <c r="N31" i="13"/>
  <c r="Q31" i="13"/>
  <c r="AA31" i="13"/>
  <c r="R31" i="13"/>
  <c r="H31" i="13"/>
  <c r="AC31" i="13"/>
  <c r="AG31" i="13"/>
  <c r="I31" i="13"/>
  <c r="Y31" i="13"/>
  <c r="AD31" i="13"/>
  <c r="S31" i="13"/>
  <c r="X31" i="13"/>
  <c r="Z31" i="13"/>
  <c r="O31" i="13"/>
  <c r="AF31" i="13"/>
  <c r="L31" i="13"/>
  <c r="D31" i="13"/>
  <c r="U31" i="13"/>
  <c r="K31" i="13"/>
  <c r="T31" i="13"/>
  <c r="F31" i="13"/>
  <c r="P31" i="13"/>
  <c r="AE31" i="13"/>
  <c r="V31" i="13"/>
  <c r="E31" i="13"/>
  <c r="M31" i="13"/>
  <c r="J31" i="13"/>
  <c r="W31" i="13"/>
  <c r="G31" i="13"/>
  <c r="Q26" i="13"/>
  <c r="T26" i="13"/>
  <c r="Y26" i="13"/>
  <c r="Z26" i="13"/>
  <c r="N26" i="13"/>
  <c r="W26" i="13"/>
  <c r="AA26" i="13"/>
  <c r="O26" i="13"/>
  <c r="V26" i="13"/>
  <c r="AB26" i="13"/>
  <c r="R26" i="13"/>
  <c r="AC26" i="13"/>
  <c r="AD26" i="13"/>
  <c r="G26" i="13"/>
  <c r="I26" i="13"/>
  <c r="F26" i="13"/>
  <c r="AF26" i="13"/>
  <c r="AE26" i="13"/>
  <c r="P26" i="13"/>
  <c r="U26" i="13"/>
  <c r="J26" i="13"/>
  <c r="H26" i="13"/>
  <c r="D26" i="13"/>
  <c r="L26" i="13"/>
  <c r="X26" i="13"/>
  <c r="M26" i="13"/>
  <c r="S26" i="13"/>
  <c r="AG26" i="13"/>
  <c r="E26" i="13"/>
  <c r="K26" i="13"/>
  <c r="R25" i="13"/>
  <c r="AB25" i="13"/>
  <c r="Q25" i="13"/>
  <c r="D25" i="13"/>
  <c r="O25" i="13"/>
  <c r="T25" i="13"/>
  <c r="F25" i="13"/>
  <c r="U25" i="13"/>
  <c r="V25" i="13"/>
  <c r="AE25" i="13"/>
  <c r="E25" i="13"/>
  <c r="AC25" i="13"/>
  <c r="M25" i="13"/>
  <c r="AA25" i="13"/>
  <c r="G25" i="13"/>
  <c r="X25" i="13"/>
  <c r="P25" i="13"/>
  <c r="J25" i="13"/>
  <c r="Z25" i="13"/>
  <c r="AF25" i="13"/>
  <c r="W25" i="13"/>
  <c r="K25" i="13"/>
  <c r="N25" i="13"/>
  <c r="H25" i="13"/>
  <c r="AG25" i="13"/>
  <c r="Y25" i="13"/>
  <c r="L25" i="13"/>
  <c r="AD25" i="13"/>
  <c r="S25" i="13"/>
  <c r="I25" i="13"/>
  <c r="P24" i="13"/>
  <c r="AD24" i="13"/>
  <c r="AB24" i="13"/>
  <c r="J24" i="13"/>
  <c r="I24" i="13"/>
  <c r="AE24" i="13"/>
  <c r="X24" i="13"/>
  <c r="H24" i="13"/>
  <c r="K24" i="13"/>
  <c r="U24" i="13"/>
  <c r="G24" i="13"/>
  <c r="Z24" i="13"/>
  <c r="N24" i="13"/>
  <c r="AG24" i="13"/>
  <c r="L24" i="13"/>
  <c r="Y24" i="13"/>
  <c r="D24" i="13"/>
  <c r="AA24" i="13"/>
  <c r="T24" i="13"/>
  <c r="S24" i="13"/>
  <c r="V24" i="13"/>
  <c r="AF24" i="13"/>
  <c r="W24" i="13"/>
  <c r="E24" i="13"/>
  <c r="O24" i="13"/>
  <c r="R24" i="13"/>
  <c r="M24" i="13"/>
  <c r="Q24" i="13"/>
  <c r="F24" i="13"/>
  <c r="AC24" i="13"/>
</calcChain>
</file>

<file path=xl/sharedStrings.xml><?xml version="1.0" encoding="utf-8"?>
<sst xmlns="http://schemas.openxmlformats.org/spreadsheetml/2006/main" count="423" uniqueCount="214">
  <si>
    <t>Beispiel I: Fertigung Anlagenbediener
(ungelernt; 5 Jahre Betriebszugehörigkeit)</t>
  </si>
  <si>
    <t>Bruttomonatslohn (Grundlohn)</t>
  </si>
  <si>
    <t>Gesamt Brutto</t>
  </si>
  <si>
    <t>Stundenlohn</t>
  </si>
  <si>
    <t>Gesamt Sonderzahlungen pro Jahr</t>
  </si>
  <si>
    <t>Gesamt Jahresbruttoeinkommen (ohne SoZa)</t>
  </si>
  <si>
    <t>Gesamt Brutto pro Jahr mit SoZa</t>
  </si>
  <si>
    <t>Mehrarbeit: Samstag</t>
  </si>
  <si>
    <t>Sonntagszuschlag</t>
  </si>
  <si>
    <t>Feiertagszuschlag</t>
  </si>
  <si>
    <t>Schichtzulage: Spätschicht 14:00-19:00</t>
  </si>
  <si>
    <t xml:space="preserve">  Unterschiedlich </t>
  </si>
  <si>
    <t xml:space="preserve">Mehrarbeit Zuschläge (1-10.Std./woche)  Ab der 11Std./woche </t>
  </si>
  <si>
    <t>25%-50%</t>
  </si>
  <si>
    <t xml:space="preserve">Schichtzulagen: Nachtzulage  00:00-04:00 Steuer Frei </t>
  </si>
  <si>
    <t>Schichtzulage: Nachtzulage  20:00-6:00</t>
  </si>
  <si>
    <t xml:space="preserve">Ebmpapst 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</si>
  <si>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</si>
  <si>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</si>
  <si>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</si>
  <si>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</si>
  <si>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</si>
  <si>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</si>
  <si>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</si>
  <si>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</si>
  <si>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</si>
  <si>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</si>
  <si>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</si>
  <si>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</si>
  <si>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 xml:space="preserve">Sonderauszahlungen </t>
  </si>
  <si>
    <t xml:space="preserve">Tarif </t>
  </si>
  <si>
    <t>D</t>
  </si>
  <si>
    <t>C</t>
  </si>
  <si>
    <t>B3</t>
  </si>
  <si>
    <t>B2</t>
  </si>
  <si>
    <t>B1</t>
  </si>
  <si>
    <t>A</t>
  </si>
  <si>
    <t>Grundentgelt</t>
  </si>
  <si>
    <t>Entgelt-
gruppen-
schlüssel</t>
  </si>
  <si>
    <t>1%</t>
  </si>
  <si>
    <t>2%</t>
  </si>
  <si>
    <t>3%</t>
  </si>
  <si>
    <t>4%</t>
  </si>
  <si>
    <t>5%</t>
  </si>
  <si>
    <t>6%</t>
  </si>
  <si>
    <t>7%</t>
  </si>
  <si>
    <t>8%</t>
  </si>
  <si>
    <t>9%</t>
  </si>
  <si>
    <t>10%</t>
  </si>
  <si>
    <t>11%</t>
  </si>
  <si>
    <t>12%</t>
  </si>
  <si>
    <t>13%</t>
  </si>
  <si>
    <t>14%</t>
  </si>
  <si>
    <t>15%</t>
  </si>
  <si>
    <t>16%</t>
  </si>
  <si>
    <t>17%</t>
  </si>
  <si>
    <t>18%</t>
  </si>
  <si>
    <t>19%</t>
  </si>
  <si>
    <t>20%</t>
  </si>
  <si>
    <t>21%</t>
  </si>
  <si>
    <t>22%</t>
  </si>
  <si>
    <t>23%</t>
  </si>
  <si>
    <t>24%</t>
  </si>
  <si>
    <t>25%</t>
  </si>
  <si>
    <t>26%</t>
  </si>
  <si>
    <t>27%</t>
  </si>
  <si>
    <t>28%</t>
  </si>
  <si>
    <t>29%</t>
  </si>
  <si>
    <t>30%</t>
  </si>
  <si>
    <t>EG 1</t>
  </si>
  <si>
    <t>EG 2</t>
  </si>
  <si>
    <t>EG 3</t>
  </si>
  <si>
    <t>EG 4</t>
  </si>
  <si>
    <t>EG 5</t>
  </si>
  <si>
    <t>EG 6</t>
  </si>
  <si>
    <t>EG 7</t>
  </si>
  <si>
    <t>EG 8</t>
  </si>
  <si>
    <t>EG 9</t>
  </si>
  <si>
    <t>EG 10</t>
  </si>
  <si>
    <t>EG 11</t>
  </si>
  <si>
    <t>EG 12</t>
  </si>
  <si>
    <t>EG 13</t>
  </si>
  <si>
    <t>EG 14</t>
  </si>
  <si>
    <t>EG 15</t>
  </si>
  <si>
    <t>EG 16</t>
  </si>
  <si>
    <t>EG 17</t>
  </si>
  <si>
    <t>VS 1</t>
  </si>
  <si>
    <t>VS 2</t>
  </si>
  <si>
    <t>VS 3</t>
  </si>
  <si>
    <t>VS 4</t>
  </si>
  <si>
    <t>VS 5</t>
  </si>
  <si>
    <t>VS 6</t>
  </si>
  <si>
    <t>VS 7</t>
  </si>
  <si>
    <t>VS 8</t>
  </si>
  <si>
    <t>VS 9</t>
  </si>
  <si>
    <t>LeiV Durchschnitt</t>
  </si>
  <si>
    <t xml:space="preserve"> </t>
  </si>
  <si>
    <t xml:space="preserve">  </t>
  </si>
  <si>
    <t>basiertend auf einer Arbeitszeit von 35 Stunden pro Woche</t>
  </si>
  <si>
    <t>ERA-
Entgeltgruppe</t>
  </si>
  <si>
    <t>ERA-Entgelttabelle</t>
  </si>
  <si>
    <t xml:space="preserve">LeiV-Entgelttabelle </t>
  </si>
  <si>
    <t>basierend auf einer Arbeitszeit von 37 Stunden pro Woche</t>
  </si>
  <si>
    <t>bezahlte Arbeitszeit pro Monat (Durchschnitt)</t>
  </si>
  <si>
    <t>bezahlte Arbeitszeit pro Woche (5 Werktage)</t>
  </si>
  <si>
    <t>-</t>
  </si>
  <si>
    <t>Urlaubsgeld</t>
  </si>
  <si>
    <t>Weihnachtsgeld</t>
  </si>
  <si>
    <t>Trafobaustein</t>
  </si>
  <si>
    <t>Urlaubgeld</t>
  </si>
  <si>
    <t>T-ZUG</t>
  </si>
  <si>
    <t>T-ZUB</t>
  </si>
  <si>
    <t>Weihnachtgeld</t>
  </si>
  <si>
    <t xml:space="preserve">   </t>
  </si>
  <si>
    <t>Urlaubsgeld (70% vom Monatsentgelt)</t>
  </si>
  <si>
    <t>5:00 - 6:00</t>
  </si>
  <si>
    <t>Zeitraum</t>
  </si>
  <si>
    <t>19:00 - 20:00</t>
  </si>
  <si>
    <t>20:00 - 22:00</t>
  </si>
  <si>
    <t>Steuer</t>
  </si>
  <si>
    <t>Nachtschichtzulagen</t>
  </si>
  <si>
    <t>Spätschichtzulagen</t>
  </si>
  <si>
    <t>Früchschichtzulagen</t>
  </si>
  <si>
    <t xml:space="preserve">Samstagzuschlag 25%   5:00-12:00 </t>
  </si>
  <si>
    <t>12:00 - 13:30</t>
  </si>
  <si>
    <t>Samstagzuschlag</t>
  </si>
  <si>
    <t>5:00 - 12:00</t>
  </si>
  <si>
    <t>25% steuerfrei / 10% steuerpf.</t>
  </si>
  <si>
    <t>20:00 - 0:00</t>
  </si>
  <si>
    <t>04:00 - 05:00</t>
  </si>
  <si>
    <t>0:00 - 04:00</t>
  </si>
  <si>
    <t>ebm</t>
  </si>
  <si>
    <t>Zuschlag</t>
  </si>
  <si>
    <t>steuerpflichtig</t>
  </si>
  <si>
    <t>steuerfrei</t>
  </si>
  <si>
    <t>14:00 - 19:00</t>
  </si>
  <si>
    <t>20:00  - 6:00</t>
  </si>
  <si>
    <t>00:00 - 04:00</t>
  </si>
  <si>
    <t>Schichtzulagen / Stunde 0,92 bei 160,95 Stunden geleisteter Arbeit / Monat</t>
  </si>
  <si>
    <r>
      <t>Leistungsbewertung /-zulage (</t>
    </r>
    <r>
      <rPr>
        <sz val="12"/>
        <color rgb="FF0000C0"/>
        <rFont val="Calibri"/>
        <family val="2"/>
        <scheme val="minor"/>
      </rPr>
      <t>ebm</t>
    </r>
    <r>
      <rPr>
        <sz val="12"/>
        <color theme="1"/>
        <rFont val="Calibri"/>
        <family val="2"/>
        <scheme val="minor"/>
      </rPr>
      <t xml:space="preserve"> / </t>
    </r>
    <r>
      <rPr>
        <sz val="12"/>
        <color rgb="FFC00000"/>
        <rFont val="Calibri"/>
        <family val="2"/>
        <scheme val="minor"/>
      </rPr>
      <t>Tarif</t>
    </r>
    <r>
      <rPr>
        <sz val="12"/>
        <color theme="1"/>
        <rFont val="Calibri"/>
        <family val="2"/>
        <scheme val="minor"/>
      </rPr>
      <t>)</t>
    </r>
  </si>
  <si>
    <r>
      <t xml:space="preserve">Tarifliches Zusatzentgelt I </t>
    </r>
    <r>
      <rPr>
        <sz val="12"/>
        <color rgb="FFC00000"/>
        <rFont val="Calibri"/>
        <family val="2"/>
        <scheme val="minor"/>
      </rPr>
      <t>(jährlich; 27,5 %)</t>
    </r>
  </si>
  <si>
    <r>
      <t xml:space="preserve">Tariflicher Zusatzbetrag </t>
    </r>
    <r>
      <rPr>
        <sz val="12"/>
        <color rgb="FFC00000"/>
        <rFont val="Calibri"/>
        <family val="2"/>
        <scheme val="minor"/>
      </rPr>
      <t>(jährlich; 18,5% von EG7)</t>
    </r>
  </si>
  <si>
    <r>
      <t xml:space="preserve">Trafobaustein </t>
    </r>
    <r>
      <rPr>
        <sz val="12"/>
        <color rgb="FFC00000"/>
        <rFont val="Calibri"/>
        <family val="2"/>
        <scheme val="minor"/>
      </rPr>
      <t>(18,4% vom Brutto)</t>
    </r>
  </si>
  <si>
    <t>Betriebszugehörigkeitszulage (Gesamt bei 10 Jahren)</t>
  </si>
  <si>
    <r>
      <t xml:space="preserve">Entgeltvergleich </t>
    </r>
    <r>
      <rPr>
        <b/>
        <sz val="16"/>
        <color rgb="FF0000C0"/>
        <rFont val="Calibri"/>
        <family val="2"/>
        <scheme val="minor"/>
      </rPr>
      <t>ebm</t>
    </r>
    <r>
      <rPr>
        <b/>
        <sz val="16"/>
        <rFont val="Calibri"/>
        <family val="2"/>
        <scheme val="minor"/>
      </rPr>
      <t xml:space="preserve"> / </t>
    </r>
    <r>
      <rPr>
        <b/>
        <sz val="16"/>
        <color rgb="FFC00000"/>
        <rFont val="Calibri"/>
        <family val="2"/>
        <scheme val="minor"/>
      </rPr>
      <t>Tarif</t>
    </r>
  </si>
  <si>
    <t>Tarif</t>
  </si>
  <si>
    <t>VS 1 - Werker</t>
  </si>
  <si>
    <t>VS 8 - Meister</t>
  </si>
  <si>
    <t>VS 6 - Projekteink.</t>
  </si>
  <si>
    <t>Beispiel:</t>
  </si>
  <si>
    <r>
      <t>D</t>
    </r>
    <r>
      <rPr>
        <vertAlign val="subscript"/>
        <sz val="11"/>
        <color theme="1"/>
        <rFont val="Calibri"/>
        <family val="2"/>
        <scheme val="minor"/>
      </rPr>
      <t>min</t>
    </r>
  </si>
  <si>
    <r>
      <t>D</t>
    </r>
    <r>
      <rPr>
        <vertAlign val="subscript"/>
        <sz val="11"/>
        <color theme="1"/>
        <rFont val="Calibri"/>
        <family val="2"/>
        <scheme val="minor"/>
      </rPr>
      <t>max</t>
    </r>
  </si>
  <si>
    <r>
      <t>C</t>
    </r>
    <r>
      <rPr>
        <vertAlign val="subscript"/>
        <sz val="11"/>
        <color theme="1"/>
        <rFont val="Calibri"/>
        <family val="2"/>
        <scheme val="minor"/>
      </rPr>
      <t>min</t>
    </r>
  </si>
  <si>
    <r>
      <t>C</t>
    </r>
    <r>
      <rPr>
        <vertAlign val="subscript"/>
        <sz val="11"/>
        <color theme="1"/>
        <rFont val="Calibri"/>
        <family val="2"/>
        <scheme val="minor"/>
      </rPr>
      <t>max</t>
    </r>
  </si>
  <si>
    <r>
      <t>B3</t>
    </r>
    <r>
      <rPr>
        <vertAlign val="subscript"/>
        <sz val="11"/>
        <color theme="1"/>
        <rFont val="Calibri"/>
        <family val="2"/>
        <scheme val="minor"/>
      </rPr>
      <t>min</t>
    </r>
  </si>
  <si>
    <r>
      <t>B3</t>
    </r>
    <r>
      <rPr>
        <vertAlign val="subscript"/>
        <sz val="11"/>
        <color theme="1"/>
        <rFont val="Calibri"/>
        <family val="2"/>
        <scheme val="minor"/>
      </rPr>
      <t>max</t>
    </r>
  </si>
  <si>
    <r>
      <t>B2</t>
    </r>
    <r>
      <rPr>
        <vertAlign val="subscript"/>
        <sz val="11"/>
        <color theme="1"/>
        <rFont val="Calibri"/>
        <family val="2"/>
        <scheme val="minor"/>
      </rPr>
      <t>min</t>
    </r>
  </si>
  <si>
    <r>
      <t>B2</t>
    </r>
    <r>
      <rPr>
        <vertAlign val="subscript"/>
        <sz val="11"/>
        <color theme="1"/>
        <rFont val="Calibri"/>
        <family val="2"/>
        <scheme val="minor"/>
      </rPr>
      <t>max</t>
    </r>
  </si>
  <si>
    <r>
      <t>B1</t>
    </r>
    <r>
      <rPr>
        <vertAlign val="subscript"/>
        <sz val="11"/>
        <color theme="1"/>
        <rFont val="Calibri"/>
        <family val="2"/>
        <scheme val="minor"/>
      </rPr>
      <t>min</t>
    </r>
  </si>
  <si>
    <r>
      <t>B1</t>
    </r>
    <r>
      <rPr>
        <vertAlign val="subscript"/>
        <sz val="11"/>
        <color theme="1"/>
        <rFont val="Calibri"/>
        <family val="2"/>
        <scheme val="minor"/>
      </rPr>
      <t>max</t>
    </r>
  </si>
  <si>
    <r>
      <t>A</t>
    </r>
    <r>
      <rPr>
        <vertAlign val="subscript"/>
        <sz val="11"/>
        <color theme="1"/>
        <rFont val="Calibri"/>
        <family val="2"/>
        <scheme val="minor"/>
      </rPr>
      <t>min</t>
    </r>
  </si>
  <si>
    <r>
      <t>A</t>
    </r>
    <r>
      <rPr>
        <vertAlign val="subscript"/>
        <sz val="11"/>
        <color theme="1"/>
        <rFont val="Calibri"/>
        <family val="2"/>
        <scheme val="minor"/>
      </rPr>
      <t>max</t>
    </r>
  </si>
  <si>
    <r>
      <t xml:space="preserve">bei einer durchschn. Bewertung von </t>
    </r>
    <r>
      <rPr>
        <b/>
        <sz val="7"/>
        <color rgb="FF0000C0"/>
        <rFont val="Calibri"/>
        <family val="2"/>
        <scheme val="minor"/>
      </rPr>
      <t>B2</t>
    </r>
    <r>
      <rPr>
        <sz val="7"/>
        <color theme="1"/>
        <rFont val="Calibri"/>
        <family val="2"/>
        <scheme val="minor"/>
      </rPr>
      <t xml:space="preserve"> / </t>
    </r>
    <r>
      <rPr>
        <b/>
        <sz val="7"/>
        <color rgb="FFC00000"/>
        <rFont val="Calibri"/>
        <family val="2"/>
        <scheme val="minor"/>
      </rPr>
      <t>15%</t>
    </r>
    <r>
      <rPr>
        <sz val="7"/>
        <rFont val="Calibri"/>
        <family val="2"/>
        <scheme val="minor"/>
      </rPr>
      <t xml:space="preserve"> und 5 Jahren Betriebszugehörigkeit</t>
    </r>
  </si>
  <si>
    <t>Summe</t>
  </si>
  <si>
    <t>EBM</t>
  </si>
  <si>
    <t>0%</t>
  </si>
  <si>
    <r>
      <t xml:space="preserve">Jahreseinkommen </t>
    </r>
    <r>
      <rPr>
        <b/>
        <sz val="8"/>
        <color rgb="FF0000C0"/>
        <rFont val="Calibri"/>
        <family val="2"/>
        <scheme val="minor"/>
      </rPr>
      <t>37h/Woche</t>
    </r>
    <r>
      <rPr>
        <b/>
        <sz val="8"/>
        <color theme="1"/>
        <rFont val="Calibri"/>
        <family val="2"/>
        <scheme val="minor"/>
      </rPr>
      <t xml:space="preserve"> - </t>
    </r>
    <r>
      <rPr>
        <b/>
        <sz val="8"/>
        <color rgb="FFC00000"/>
        <rFont val="Calibri"/>
        <family val="2"/>
        <scheme val="minor"/>
      </rPr>
      <t>37h/Woche</t>
    </r>
  </si>
  <si>
    <t>basiertend auf einer Arbeitszeit von 37 Stunden pro Woche</t>
  </si>
  <si>
    <r>
      <t xml:space="preserve">Jahreseinkommen </t>
    </r>
    <r>
      <rPr>
        <b/>
        <sz val="8"/>
        <rFont val="Calibri"/>
        <family val="2"/>
        <scheme val="minor"/>
      </rPr>
      <t>37h/Woche - 35h/Woche</t>
    </r>
  </si>
  <si>
    <t>VS 5 - Zeitwesen</t>
  </si>
  <si>
    <t>VS 5 - QS</t>
  </si>
  <si>
    <t>VS 9 - Gruppenreferent</t>
  </si>
  <si>
    <t>VS 2 - Logistik</t>
  </si>
  <si>
    <t>VS 2 - Springer</t>
  </si>
  <si>
    <t>VS 3 - Einrichter 1</t>
  </si>
  <si>
    <t>VS 6 - EV-Ingenieur 1</t>
  </si>
  <si>
    <t>VS 7 - Spezialist</t>
  </si>
  <si>
    <t>VS 7 - EV-Ingenieur 2</t>
  </si>
  <si>
    <t>EG 17 - Gruppenreferent</t>
  </si>
  <si>
    <t>EG 16 - Meister</t>
  </si>
  <si>
    <t>EG 15 - Spezialist</t>
  </si>
  <si>
    <t>EG 14 - EV-Ingenieur 2</t>
  </si>
  <si>
    <t>EG 13 - EV-Ingenieur 1</t>
  </si>
  <si>
    <t>EG 12 - ZW / P-Ek. / TML3</t>
  </si>
  <si>
    <t>EG 7 - Einrichter 1</t>
  </si>
  <si>
    <t>EG 2 - Einfacher Werker</t>
  </si>
  <si>
    <t>EG 1 - Einfacher Werker</t>
  </si>
  <si>
    <t>VS 4 - Einrichter 2</t>
  </si>
  <si>
    <t>ME_Industrie_ERA_Tarifvertrag_Niveaubeispiele.pdf</t>
  </si>
  <si>
    <t>Arbeitsplatzbeschreibungen LeiV Phase II_Intranet_ab01032023.pdf</t>
  </si>
  <si>
    <t>Arbeitsplatzbeschreibung ERA-LeiV</t>
  </si>
  <si>
    <t>EG 6 - Springer</t>
  </si>
  <si>
    <t xml:space="preserve">EG 3 - </t>
  </si>
  <si>
    <t>EG 4 - Werker / Logistiker</t>
  </si>
  <si>
    <t>EG 8 - mehrj. Einrichter 1</t>
  </si>
  <si>
    <t>EG 5 - mehrj. Logistiker</t>
  </si>
  <si>
    <t>EG 9 - TML / Einrichter 2</t>
  </si>
  <si>
    <t>EG 10 - mehrj. TML</t>
  </si>
  <si>
    <t>EG 11 - TML 2 / QS</t>
  </si>
  <si>
    <t>VS 6 - TML 3</t>
  </si>
  <si>
    <t>VS 5 - TML 2</t>
  </si>
  <si>
    <t>VS 4 - TML 1</t>
  </si>
  <si>
    <t>1 Jahr</t>
  </si>
  <si>
    <t>2 Jahre</t>
  </si>
  <si>
    <t>3 Jahre</t>
  </si>
  <si>
    <t>5 Jahre</t>
  </si>
  <si>
    <t>10 Jahre</t>
  </si>
  <si>
    <t>6 Monaten</t>
  </si>
  <si>
    <t>Weihnachtsgeld ab</t>
  </si>
  <si>
    <t>20 Jahre</t>
  </si>
  <si>
    <t>25 Jahre</t>
  </si>
  <si>
    <t>40 Jahre</t>
  </si>
  <si>
    <t>60%</t>
  </si>
  <si>
    <t>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</si>
</sst>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€&quot;* #,##0.00_);_(&quot;€&quot;* \(#,##0.00\);_(&quot;€&quot;* &quot;-&quot;??_);_(@_)"/>
    <numFmt numFmtId="165" formatCode="_-* #,##0.00\ [$€-407]_-;\-* #,##0.00\ [$€-407]_-;_-* &quot;-&quot;??\ [$€-407]_-;_-@_-"/>
    <numFmt numFmtId="166" formatCode="#,##0.00\ &quot;€&quot;"/>
    <numFmt numFmtId="167" formatCode="0.0%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C0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color rgb="FF0000C0"/>
      <name val="Calibri"/>
      <family val="2"/>
      <scheme val="minor"/>
    </font>
    <font>
      <sz val="12"/>
      <color rgb="FFC00000"/>
      <name val="Calibri"/>
      <family val="2"/>
      <scheme val="minor"/>
    </font>
    <font>
      <sz val="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rgb="FF0000C0"/>
      <name val="Calibri"/>
      <family val="2"/>
      <scheme val="minor"/>
    </font>
    <font>
      <b/>
      <sz val="7"/>
      <color rgb="FFC00000"/>
      <name val="Calibri"/>
      <family val="2"/>
      <scheme val="minor"/>
    </font>
    <font>
      <sz val="7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C0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164" fontId="6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120">
    <xf numFmtId="0" fontId="0" fillId="0" borderId="0" xfId="0"/>
    <xf numFmtId="166" fontId="0" fillId="0" borderId="0" xfId="0" applyNumberFormat="1"/>
    <xf numFmtId="9" fontId="4" fillId="0" borderId="0" xfId="0" applyNumberFormat="1" applyFont="1" applyAlignment="1">
      <alignment horizontal="center"/>
    </xf>
    <xf numFmtId="167" fontId="14" fillId="0" borderId="0" xfId="0" applyNumberFormat="1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0" applyNumberFormat="1"/>
    <xf numFmtId="9" fontId="0" fillId="0" borderId="0" xfId="0" applyNumberFormat="1" applyAlignment="1">
      <alignment horizontal="center"/>
    </xf>
    <xf numFmtId="0" fontId="8" fillId="0" borderId="0" xfId="0" applyFont="1"/>
    <xf numFmtId="166" fontId="16" fillId="0" borderId="0" xfId="0" applyNumberFormat="1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6" fillId="0" borderId="0" xfId="2" applyFont="1"/>
    <xf numFmtId="0" fontId="6" fillId="2" borderId="0" xfId="2" applyNumberFormat="1" applyFont="1" applyFill="1" applyAlignment="1">
      <alignment horizontal="center"/>
    </xf>
    <xf numFmtId="164" fontId="6" fillId="2" borderId="0" xfId="2" applyFont="1" applyFill="1" applyAlignment="1">
      <alignment horizontal="center"/>
    </xf>
    <xf numFmtId="165" fontId="6" fillId="3" borderId="0" xfId="2" applyNumberFormat="1" applyFont="1" applyFill="1" applyAlignment="1">
      <alignment horizontal="center"/>
    </xf>
    <xf numFmtId="164" fontId="6" fillId="3" borderId="0" xfId="2" applyFont="1" applyFill="1" applyAlignment="1">
      <alignment horizontal="center"/>
    </xf>
    <xf numFmtId="0" fontId="6" fillId="3" borderId="0" xfId="2" applyNumberFormat="1" applyFont="1" applyFill="1" applyAlignment="1">
      <alignment horizontal="center"/>
    </xf>
    <xf numFmtId="164" fontId="1" fillId="2" borderId="0" xfId="2" applyFont="1" applyFill="1" applyAlignment="1">
      <alignment horizontal="center"/>
    </xf>
    <xf numFmtId="164" fontId="1" fillId="3" borderId="0" xfId="2" applyFont="1" applyFill="1" applyAlignment="1">
      <alignment horizontal="center"/>
    </xf>
    <xf numFmtId="0" fontId="0" fillId="4" borderId="0" xfId="0" applyFill="1"/>
    <xf numFmtId="0" fontId="0" fillId="5" borderId="0" xfId="0" applyFill="1"/>
    <xf numFmtId="0" fontId="11" fillId="5" borderId="0" xfId="0" applyFont="1" applyFill="1"/>
    <xf numFmtId="0" fontId="11" fillId="4" borderId="0" xfId="0" applyFont="1" applyFill="1"/>
    <xf numFmtId="0" fontId="8" fillId="0" borderId="0" xfId="0" applyFont="1" applyAlignment="1">
      <alignment wrapText="1"/>
    </xf>
    <xf numFmtId="0" fontId="0" fillId="0" borderId="4" xfId="0" applyBorder="1"/>
    <xf numFmtId="9" fontId="21" fillId="0" borderId="0" xfId="0" applyNumberFormat="1" applyFont="1"/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0" fontId="8" fillId="0" borderId="2" xfId="0" applyFont="1" applyBorder="1"/>
    <xf numFmtId="166" fontId="13" fillId="0" borderId="5" xfId="0" applyNumberFormat="1" applyFont="1" applyBorder="1" applyAlignment="1">
      <alignment horizontal="center"/>
    </xf>
    <xf numFmtId="0" fontId="8" fillId="0" borderId="3" xfId="0" applyFont="1" applyBorder="1"/>
    <xf numFmtId="166" fontId="12" fillId="0" borderId="6" xfId="0" applyNumberFormat="1" applyFont="1" applyBorder="1" applyAlignment="1">
      <alignment horizontal="center"/>
    </xf>
    <xf numFmtId="166" fontId="12" fillId="0" borderId="3" xfId="0" applyNumberFormat="1" applyFont="1" applyBorder="1" applyAlignment="1">
      <alignment horizontal="center"/>
    </xf>
    <xf numFmtId="166" fontId="13" fillId="0" borderId="6" xfId="0" applyNumberFormat="1" applyFont="1" applyBorder="1" applyAlignment="1">
      <alignment horizontal="center"/>
    </xf>
    <xf numFmtId="166" fontId="13" fillId="0" borderId="4" xfId="0" applyNumberFormat="1" applyFont="1" applyBorder="1" applyAlignment="1">
      <alignment horizontal="center"/>
    </xf>
    <xf numFmtId="166" fontId="13" fillId="0" borderId="0" xfId="0" applyNumberFormat="1" applyFont="1" applyAlignment="1">
      <alignment horizontal="center"/>
    </xf>
    <xf numFmtId="9" fontId="10" fillId="6" borderId="0" xfId="0" applyNumberFormat="1" applyFont="1" applyFill="1"/>
    <xf numFmtId="0" fontId="10" fillId="6" borderId="0" xfId="0" applyFont="1" applyFill="1"/>
    <xf numFmtId="0" fontId="3" fillId="6" borderId="0" xfId="0" applyFont="1" applyFill="1"/>
    <xf numFmtId="0" fontId="0" fillId="6" borderId="0" xfId="0" applyFill="1"/>
    <xf numFmtId="0" fontId="5" fillId="6" borderId="0" xfId="0" applyFont="1" applyFill="1"/>
    <xf numFmtId="166" fontId="0" fillId="6" borderId="0" xfId="0" applyNumberFormat="1" applyFill="1"/>
    <xf numFmtId="9" fontId="0" fillId="6" borderId="0" xfId="0" applyNumberFormat="1" applyFill="1" applyAlignment="1">
      <alignment horizontal="center"/>
    </xf>
    <xf numFmtId="0" fontId="22" fillId="6" borderId="0" xfId="0" applyFont="1" applyFill="1"/>
    <xf numFmtId="0" fontId="24" fillId="6" borderId="0" xfId="0" applyFont="1" applyFill="1" applyAlignment="1">
      <alignment vertical="center" wrapText="1"/>
    </xf>
    <xf numFmtId="164" fontId="6" fillId="6" borderId="0" xfId="2" applyFont="1" applyFill="1"/>
    <xf numFmtId="164" fontId="0" fillId="6" borderId="0" xfId="0" applyNumberFormat="1" applyFill="1"/>
    <xf numFmtId="0" fontId="17" fillId="6" borderId="0" xfId="0" applyFont="1" applyFill="1"/>
    <xf numFmtId="0" fontId="21" fillId="6" borderId="0" xfId="0" applyFont="1" applyFill="1" applyAlignment="1">
      <alignment horizontal="center"/>
    </xf>
    <xf numFmtId="0" fontId="12" fillId="6" borderId="0" xfId="0" applyFont="1" applyFill="1" applyAlignment="1">
      <alignment horizontal="center"/>
    </xf>
    <xf numFmtId="0" fontId="1" fillId="0" borderId="0" xfId="0" applyFont="1"/>
    <xf numFmtId="0" fontId="1" fillId="2" borderId="8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164" fontId="1" fillId="7" borderId="7" xfId="2" applyFont="1" applyFill="1" applyBorder="1"/>
    <xf numFmtId="164" fontId="0" fillId="2" borderId="9" xfId="2" applyFont="1" applyFill="1" applyBorder="1" applyAlignment="1">
      <alignment horizontal="center"/>
    </xf>
    <xf numFmtId="164" fontId="0" fillId="3" borderId="7" xfId="2" applyFont="1" applyFill="1" applyBorder="1" applyAlignment="1">
      <alignment horizontal="right"/>
    </xf>
    <xf numFmtId="164" fontId="1" fillId="0" borderId="0" xfId="2" applyFont="1" applyBorder="1"/>
    <xf numFmtId="164" fontId="0" fillId="2" borderId="8" xfId="2" applyFont="1" applyFill="1" applyBorder="1" applyAlignment="1">
      <alignment horizontal="center"/>
    </xf>
    <xf numFmtId="164" fontId="0" fillId="3" borderId="0" xfId="2" applyFont="1" applyFill="1" applyAlignment="1">
      <alignment horizontal="right"/>
    </xf>
    <xf numFmtId="164" fontId="1" fillId="7" borderId="0" xfId="2" applyFont="1" applyFill="1" applyBorder="1"/>
    <xf numFmtId="164" fontId="1" fillId="6" borderId="3" xfId="2" applyFont="1" applyFill="1" applyBorder="1"/>
    <xf numFmtId="164" fontId="1" fillId="3" borderId="3" xfId="2" applyFont="1" applyFill="1" applyBorder="1"/>
    <xf numFmtId="164" fontId="1" fillId="2" borderId="10" xfId="2" applyFont="1" applyFill="1" applyBorder="1" applyAlignment="1">
      <alignment horizontal="center"/>
    </xf>
    <xf numFmtId="49" fontId="0" fillId="0" borderId="0" xfId="0" applyNumberFormat="1"/>
    <xf numFmtId="9" fontId="21" fillId="6" borderId="0" xfId="0" applyNumberFormat="1" applyFont="1" applyFill="1"/>
    <xf numFmtId="166" fontId="12" fillId="6" borderId="0" xfId="0" applyNumberFormat="1" applyFont="1" applyFill="1" applyAlignment="1">
      <alignment horizontal="center"/>
    </xf>
    <xf numFmtId="166" fontId="13" fillId="6" borderId="0" xfId="0" applyNumberFormat="1" applyFont="1" applyFill="1" applyAlignment="1">
      <alignment horizontal="center"/>
    </xf>
    <xf numFmtId="166" fontId="12" fillId="6" borderId="0" xfId="1" applyNumberFormat="1" applyFont="1" applyFill="1" applyBorder="1" applyAlignment="1">
      <alignment horizontal="center"/>
    </xf>
    <xf numFmtId="0" fontId="12" fillId="6" borderId="0" xfId="0" applyFont="1" applyFill="1"/>
    <xf numFmtId="164" fontId="12" fillId="0" borderId="0" xfId="2" applyFont="1"/>
    <xf numFmtId="164" fontId="13" fillId="2" borderId="0" xfId="2" applyFont="1" applyFill="1" applyAlignment="1">
      <alignment horizontal="center"/>
    </xf>
    <xf numFmtId="164" fontId="13" fillId="3" borderId="0" xfId="2" applyFont="1" applyFill="1" applyAlignment="1">
      <alignment horizontal="center"/>
    </xf>
    <xf numFmtId="0" fontId="13" fillId="0" borderId="0" xfId="0" applyFont="1"/>
    <xf numFmtId="0" fontId="13" fillId="2" borderId="8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2" fillId="2" borderId="0" xfId="2" applyNumberFormat="1" applyFont="1" applyFill="1" applyAlignment="1">
      <alignment horizontal="center"/>
    </xf>
    <xf numFmtId="164" fontId="12" fillId="2" borderId="0" xfId="2" applyFont="1" applyFill="1" applyAlignment="1">
      <alignment horizontal="center"/>
    </xf>
    <xf numFmtId="0" fontId="12" fillId="3" borderId="0" xfId="2" applyNumberFormat="1" applyFont="1" applyFill="1" applyAlignment="1">
      <alignment horizontal="center"/>
    </xf>
    <xf numFmtId="164" fontId="12" fillId="3" borderId="0" xfId="2" applyFont="1" applyFill="1" applyAlignment="1">
      <alignment horizontal="center"/>
    </xf>
    <xf numFmtId="164" fontId="13" fillId="7" borderId="7" xfId="2" applyFont="1" applyFill="1" applyBorder="1"/>
    <xf numFmtId="164" fontId="12" fillId="2" borderId="9" xfId="2" applyFont="1" applyFill="1" applyBorder="1" applyAlignment="1">
      <alignment horizontal="center"/>
    </xf>
    <xf numFmtId="164" fontId="12" fillId="3" borderId="7" xfId="2" applyFont="1" applyFill="1" applyBorder="1" applyAlignment="1">
      <alignment horizontal="right"/>
    </xf>
    <xf numFmtId="165" fontId="12" fillId="3" borderId="0" xfId="2" applyNumberFormat="1" applyFont="1" applyFill="1" applyAlignment="1">
      <alignment horizontal="center"/>
    </xf>
    <xf numFmtId="164" fontId="13" fillId="0" borderId="0" xfId="2" applyFont="1" applyBorder="1"/>
    <xf numFmtId="164" fontId="12" fillId="2" borderId="8" xfId="2" applyFont="1" applyFill="1" applyBorder="1" applyAlignment="1">
      <alignment horizontal="center"/>
    </xf>
    <xf numFmtId="164" fontId="12" fillId="3" borderId="0" xfId="2" applyFont="1" applyFill="1" applyAlignment="1">
      <alignment horizontal="right"/>
    </xf>
    <xf numFmtId="164" fontId="13" fillId="7" borderId="0" xfId="2" applyFont="1" applyFill="1" applyBorder="1"/>
    <xf numFmtId="164" fontId="12" fillId="6" borderId="0" xfId="0" applyNumberFormat="1" applyFont="1" applyFill="1"/>
    <xf numFmtId="164" fontId="12" fillId="6" borderId="0" xfId="2" applyFont="1" applyFill="1"/>
    <xf numFmtId="164" fontId="13" fillId="6" borderId="3" xfId="2" applyFont="1" applyFill="1" applyBorder="1"/>
    <xf numFmtId="164" fontId="13" fillId="2" borderId="10" xfId="2" applyFont="1" applyFill="1" applyBorder="1" applyAlignment="1">
      <alignment horizontal="center"/>
    </xf>
    <xf numFmtId="164" fontId="13" fillId="3" borderId="3" xfId="2" applyFont="1" applyFill="1" applyBorder="1"/>
    <xf numFmtId="166" fontId="13" fillId="0" borderId="2" xfId="0" applyNumberFormat="1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33" fillId="0" borderId="0" xfId="3"/>
    <xf numFmtId="0" fontId="34" fillId="0" borderId="0" xfId="0" applyFont="1"/>
    <xf numFmtId="0" fontId="21" fillId="0" borderId="0" xfId="0" applyFont="1"/>
    <xf numFmtId="4" fontId="12" fillId="0" borderId="0" xfId="0" applyNumberFormat="1" applyFont="1" applyAlignment="1">
      <alignment horizontal="center"/>
    </xf>
    <xf numFmtId="166" fontId="12" fillId="0" borderId="0" xfId="1" applyNumberFormat="1" applyFont="1" applyFill="1" applyBorder="1" applyAlignment="1">
      <alignment horizontal="center"/>
    </xf>
    <xf numFmtId="49" fontId="21" fillId="0" borderId="0" xfId="0" applyNumberFormat="1" applyFont="1"/>
    <xf numFmtId="166" fontId="21" fillId="0" borderId="0" xfId="0" applyNumberFormat="1" applyFont="1"/>
    <xf numFmtId="9" fontId="33" fillId="6" borderId="0" xfId="3" applyNumberForma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14" fillId="6" borderId="0" xfId="0" applyFont="1" applyFill="1" applyAlignment="1">
      <alignment horizontal="center"/>
    </xf>
    <xf numFmtId="0" fontId="24" fillId="6" borderId="0" xfId="0" applyFont="1" applyFill="1" applyAlignment="1">
      <alignment horizontal="left" vertical="center" wrapText="1"/>
    </xf>
    <xf numFmtId="0" fontId="9" fillId="6" borderId="0" xfId="0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3" fillId="6" borderId="0" xfId="0" applyFont="1" applyFill="1"/>
    <xf numFmtId="0" fontId="5" fillId="6" borderId="0" xfId="0" applyFont="1" applyFill="1"/>
    <xf numFmtId="0" fontId="31" fillId="6" borderId="0" xfId="0" applyFont="1" applyFill="1"/>
    <xf numFmtId="0" fontId="3" fillId="6" borderId="0" xfId="0" applyFont="1" applyFill="1" applyAlignment="1">
      <alignment horizontal="left"/>
    </xf>
  </cellXfs>
  <cellStyles count="4">
    <cellStyle name="Link" xfId="3" builtinId="8"/>
    <cellStyle name="Standard" xfId="0" builtinId="0"/>
    <cellStyle name="Überschrift 1" xfId="1" builtinId="16"/>
    <cellStyle name="Währung" xfId="2" builtinId="4"/>
  </cellStyles>
  <dxfs count="1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#,##0.00\ &quot;€&quot;"/>
    </dxf>
    <dxf>
      <numFmt numFmtId="166" formatCode="#,##0.00\ &quot;€&quot;"/>
    </dxf>
    <dxf>
      <numFmt numFmtId="166" formatCode="#,##0.00\ &quot;€&quot;"/>
    </dxf>
    <dxf>
      <numFmt numFmtId="166" formatCode="#,##0.00\ &quot;€&quot;"/>
    </dxf>
    <dxf>
      <numFmt numFmtId="166" formatCode="#,##0.00\ &quot;€&quot;"/>
    </dxf>
    <dxf>
      <numFmt numFmtId="166" formatCode="#,##0.00\ &quot;€&quot;"/>
    </dxf>
    <dxf>
      <numFmt numFmtId="166" formatCode="#,##0.00\ &quot;€&quot;"/>
    </dxf>
    <dxf>
      <numFmt numFmtId="166" formatCode="#,##0.00\ &quot;€&quot;"/>
    </dxf>
    <dxf>
      <numFmt numFmtId="166" formatCode="#,##0.00\ &quot;€&quot;"/>
    </dxf>
    <dxf>
      <numFmt numFmtId="166" formatCode="#,##0.00\ &quot;€&quot;"/>
    </dxf>
    <dxf>
      <numFmt numFmtId="166" formatCode="#,##0.00\ &quot;€&quot;"/>
    </dxf>
    <dxf>
      <numFmt numFmtId="166" formatCode="#,##0.00\ &quot;€&quot;"/>
    </dxf>
    <dxf>
      <numFmt numFmtId="166" formatCode="#,##0.00\ &quot;€&quot;"/>
    </dxf>
    <dxf>
      <numFmt numFmtId="166" formatCode="#,##0.00\ &quot;€&quot;"/>
    </dxf>
    <dxf>
      <numFmt numFmtId="166" formatCode="#,##0.00\ &quot;€&quot;"/>
    </dxf>
    <dxf>
      <numFmt numFmtId="166" formatCode="#,##0.00\ &quot;€&quot;"/>
    </dxf>
    <dxf>
      <numFmt numFmtId="166" formatCode="#,##0.00\ &quot;€&quot;"/>
    </dxf>
    <dxf>
      <numFmt numFmtId="166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€&quot;* #,##0.00_);_(&quot;€&quot;* \(#,##0.00\);_(&quot;€&quot;* &quot;-&quot;??_);_(@_)"/>
      <fill>
        <patternFill patternType="solid">
          <fgColor indexed="64"/>
          <bgColor rgb="FFFF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€&quot;* #,##0.00_);_(&quot;€&quot;* \(#,##0.00\);_(&quot;€&quot;* &quot;-&quot;??_);_(@_)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€&quot;* #,##0.00_);_(&quot;€&quot;* \(#,##0.00\);_(&quot;€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.00\ [$€-407]_-;\-* #,##0.00\ [$€-407]_-;_-* &quot;-&quot;??\ [$€-407]_-;_-@_-"/>
      <fill>
        <patternFill patternType="solid">
          <fgColor indexed="64"/>
          <bgColor rgb="FFFF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F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€&quot;* #,##0.00_);_(&quot;€&quot;* \(#,##0.00\);_(&quot;€&quot;* &quot;-&quot;??_);_(@_)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&quot;€&quot;* #,##0.00_);_(&quot;€&quot;* \(#,##0.00\);_(&quot;€&quot;* &quot;-&quot;??_);_(@_)"/>
      <fill>
        <patternFill patternType="solid">
          <fgColor indexed="64"/>
          <bgColor rgb="FFFF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&quot;€&quot;* #,##0.00_);_(&quot;€&quot;* \(#,##0.00\);_(&quot;€&quot;* &quot;-&quot;??_);_(@_)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&quot;€&quot;* #,##0.00_);_(&quot;€&quot;* \(#,##0.00\);_(&quot;€&quot;* &quot;-&quot;??_);_(@_)"/>
    </dxf>
    <dxf>
      <font>
        <color auto="1"/>
        <family val="2"/>
      </font>
    </dxf>
    <dxf>
      <font>
        <color auto="1"/>
        <family val="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-* #,##0.00\ [$€-407]_-;\-* #,##0.00\ [$€-407]_-;_-* &quot;-&quot;??\ [$€-407]_-;_-@_-"/>
      <fill>
        <patternFill patternType="solid">
          <fgColor indexed="64"/>
          <bgColor rgb="FFFF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FF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&quot;€&quot;* #,##0.00_);_(&quot;€&quot;* \(#,##0.00\);_(&quot;€&quot;* &quot;-&quot;??_);_(@_)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color auto="1"/>
        <family val="2"/>
      </font>
    </dxf>
    <dxf>
      <font>
        <color auto="1"/>
        <family val="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#,##0.00\ &quot;€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 patternType="solid">
          <fgColor theme="5" tint="0.59999389629810485"/>
          <bgColor theme="5" tint="0.59999389629810485"/>
        </patternFill>
      </fill>
    </dxf>
    <dxf>
      <fill>
        <patternFill>
          <bgColor rgb="FFFFC0C0"/>
        </patternFill>
      </fill>
    </dxf>
    <dxf>
      <fill>
        <patternFill patternType="solid">
          <fgColor theme="5" tint="0.59999389629810485"/>
          <bgColor rgb="FFFF808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rgb="FFC00000"/>
          <bgColor rgb="FFC00000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5" tint="0.79998168889431442"/>
          <bgColor theme="5" tint="0.79998168889431442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  <border>
        <right style="thin">
          <color auto="1"/>
        </right>
      </border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n">
          <color theme="1"/>
        </bottom>
      </border>
    </dxf>
    <dxf>
      <font>
        <color theme="1"/>
      </font>
    </dxf>
  </dxfs>
  <tableStyles count="3" defaultTableStyle="TableStyleMedium2" defaultPivotStyle="PivotStyleLight16">
    <tableStyle name="TableStyleLight1 2" pivot="0" count="7" xr9:uid="{4C87C7D6-A1D0-4330-AE7C-0380214BDF46}">
      <tableStyleElement type="wholeTable" dxfId="147"/>
      <tableStyleElement type="headerRow" dxfId="146"/>
      <tableStyleElement type="totalRow" dxfId="145"/>
      <tableStyleElement type="firstColumn" dxfId="144"/>
      <tableStyleElement type="lastColumn" dxfId="143"/>
      <tableStyleElement type="firstRowStripe" dxfId="142"/>
      <tableStyleElement type="firstColumnStripe" dxfId="141"/>
    </tableStyle>
    <tableStyle name="TableStyleMedium10 2" pivot="0" count="8" xr9:uid="{C691E441-08BE-4C00-8A63-11B743406563}">
      <tableStyleElement type="wholeTable" dxfId="140"/>
      <tableStyleElement type="headerRow" dxfId="139"/>
      <tableStyleElement type="totalRow" dxfId="138"/>
      <tableStyleElement type="firstColumn" dxfId="137"/>
      <tableStyleElement type="lastColumn" dxfId="136"/>
      <tableStyleElement type="firstRowStripe" dxfId="135"/>
      <tableStyleElement type="secondRowStripe" dxfId="134"/>
      <tableStyleElement type="firstColumnStripe" dxfId="133"/>
    </tableStyle>
    <tableStyle name="TableStyleMedium9 2" pivot="0" count="8" xr9:uid="{87BEA414-7D5E-477F-B0B9-E7D426888142}">
      <tableStyleElement type="wholeTable" dxfId="132"/>
      <tableStyleElement type="headerRow" dxfId="131"/>
      <tableStyleElement type="totalRow" dxfId="130"/>
      <tableStyleElement type="firstColumn" dxfId="129"/>
      <tableStyleElement type="lastColumn" dxfId="128"/>
      <tableStyleElement type="firstRowStripe" dxfId="127"/>
      <tableStyleElement type="firstColumnStripe" size="2" dxfId="126"/>
      <tableStyleElement type="secondColumnStripe" size="2"/>
    </tableStyle>
  </tableStyles>
  <colors>
    <mruColors>
      <color rgb="FF000080"/>
      <color rgb="FF800000"/>
      <color rgb="FF6080FF"/>
      <color rgb="FFC00000"/>
      <color rgb="FF0000C0"/>
      <color rgb="FFFFC0C0"/>
      <color rgb="FFC0C0FF"/>
      <color rgb="FFFF8080"/>
      <color rgb="FFFFA0A0"/>
      <color rgb="FFFF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Verteilung</a:t>
            </a:r>
            <a:r>
              <a:rPr lang="de-DE" baseline="0"/>
              <a:t> Einkommen &amp; Sonderzahlung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Jahreseinkommen!$H$3</c:f>
              <c:strCache>
                <c:ptCount val="1"/>
                <c:pt idx="0">
                  <c:v>EBM</c:v>
                </c:pt>
              </c:strCache>
            </c:strRef>
          </c:tx>
          <c:spPr>
            <a:solidFill>
              <a:srgbClr val="0000C0"/>
            </a:solidFill>
            <a:ln>
              <a:noFill/>
            </a:ln>
            <a:effectLst/>
          </c:spPr>
          <c:invertIfNegative val="0"/>
          <c:cat>
            <c:strRef>
              <c:f>Jahreseinkommen!$G$4:$G$15</c:f>
              <c:strCache>
                <c:ptCount val="12"/>
                <c:pt idx="0">
                  <c:v> Januar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Jahreseinkommen!$H$4:$H$15</c:f>
              <c:numCache>
                <c:formatCode>_("$"* #.##000_);_("$"* \(#.##000\);_("$"* "-"??_);_(@_)</c:formatCode>
                <c:ptCount val="12"/>
                <c:pt idx="0">
                  <c:v>3041.9949999999999</c:v>
                </c:pt>
                <c:pt idx="1">
                  <c:v>3041.9949999999999</c:v>
                </c:pt>
                <c:pt idx="2">
                  <c:v>3041.9949999999999</c:v>
                </c:pt>
                <c:pt idx="3">
                  <c:v>3041.9949999999999</c:v>
                </c:pt>
                <c:pt idx="4">
                  <c:v>3041.9949999999999</c:v>
                </c:pt>
                <c:pt idx="5">
                  <c:v>5171.3914999999997</c:v>
                </c:pt>
                <c:pt idx="6">
                  <c:v>3041.9949999999999</c:v>
                </c:pt>
                <c:pt idx="7">
                  <c:v>3041.9949999999999</c:v>
                </c:pt>
                <c:pt idx="8">
                  <c:v>3041.9949999999999</c:v>
                </c:pt>
                <c:pt idx="9">
                  <c:v>3041.9949999999999</c:v>
                </c:pt>
                <c:pt idx="10">
                  <c:v>5323.49125</c:v>
                </c:pt>
                <c:pt idx="11">
                  <c:v>3041.9949999999999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61-4691-AF8A-36A1C382FB2A}"/>
            </c:ext>
          </c:extLst>
        </c:ser>
        <c:ser>
          <c:idx val="0"/>
          <c:order val="1"/>
          <c:tx>
            <c:strRef>
              <c:f>Jahreseinkommen!$I$3</c:f>
              <c:strCache>
                <c:ptCount val="1"/>
                <c:pt idx="0">
                  <c:v>Tarif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Jahreseinkommen!$G$4:$G$15</c:f>
              <c:strCache>
                <c:ptCount val="12"/>
                <c:pt idx="0">
                  <c:v> Januar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Jahreseinkommen!$I$4:$I$15</c:f>
              <c:numCache>
                <c:formatCode>_("$"* #.##000_);_("$"* \(#.##000\);_("$"* "-"??_);_(@_)</c:formatCode>
                <c:ptCount val="12"/>
                <c:pt idx="0">
                  <c:v>3136.0499999999997</c:v>
                </c:pt>
                <c:pt idx="1">
                  <c:v>3713.0831999999996</c:v>
                </c:pt>
                <c:pt idx="2">
                  <c:v>3136.0499999999997</c:v>
                </c:pt>
                <c:pt idx="3">
                  <c:v>3136.0499999999997</c:v>
                </c:pt>
                <c:pt idx="4">
                  <c:v>3136.0499999999997</c:v>
                </c:pt>
                <c:pt idx="5">
                  <c:v>5331.2849999999999</c:v>
                </c:pt>
                <c:pt idx="6">
                  <c:v>3998.4637499999999</c:v>
                </c:pt>
                <c:pt idx="7">
                  <c:v>3136.0499999999997</c:v>
                </c:pt>
                <c:pt idx="8">
                  <c:v>3136.0499999999997</c:v>
                </c:pt>
                <c:pt idx="9">
                  <c:v>3766.7149999999997</c:v>
                </c:pt>
                <c:pt idx="10">
                  <c:v>4860.8774999999996</c:v>
                </c:pt>
                <c:pt idx="11">
                  <c:v>3136.0499999999997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1-4691-AF8A-36A1C382F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5288152"/>
        <c:axId val="785290448"/>
      </c:barChart>
      <c:barChart>
        <c:barDir val="col"/>
        <c:grouping val="clustered"/>
        <c:varyColors val="0"/>
        <c:ser>
          <c:idx val="2"/>
          <c:order val="2"/>
          <c:tx>
            <c:v>JE ebm</c:v>
          </c:tx>
          <c:spPr>
            <a:gradFill flip="none" rotWithShape="1">
              <a:gsLst>
                <a:gs pos="0">
                  <a:srgbClr val="000080"/>
                </a:gs>
                <a:gs pos="50000">
                  <a:srgbClr val="6080FF"/>
                </a:gs>
                <a:gs pos="100000">
                  <a:srgbClr val="000080"/>
                </a:gs>
              </a:gsLst>
              <a:lin ang="0" scaled="1"/>
              <a:tileRect/>
            </a:gradFill>
            <a:ln>
              <a:noFill/>
            </a:ln>
            <a:effectLst/>
          </c:spPr>
          <c:invertIfNegative val="0"/>
          <c:val>
            <c:numRef>
              <c:f>(Jahreseinkommen!$A$17:$A$28,Jahreseinkommen!$H$16)</c:f>
              <c:numCache>
                <c:formatCode>General</c:formatCode>
                <c:ptCount val="13"/>
                <c:pt idx="12" formatCode="_(&quot;$&quot;* #.##000_);_(&quot;$&quot;* \(#.##000\);_(&quot;$&quot;* &quot;-&quot;??_);_(@_)">
                  <c:v>40914.832749999994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20-4F1A-BCEB-8EDECB9EB69A}"/>
            </c:ext>
          </c:extLst>
        </c:ser>
        <c:ser>
          <c:idx val="3"/>
          <c:order val="3"/>
          <c:tx>
            <c:v>JE Tarif</c:v>
          </c:tx>
          <c:spPr>
            <a:gradFill flip="none" rotWithShape="1">
              <a:gsLst>
                <a:gs pos="0">
                  <a:srgbClr val="0000C0"/>
                </a:gs>
                <a:gs pos="50000">
                  <a:srgbClr val="0000C0"/>
                </a:gs>
                <a:gs pos="100000">
                  <a:srgbClr val="0000C0"/>
                </a:gs>
              </a:gsLst>
              <a:lin ang="0" scaled="1"/>
              <a:tileRect/>
            </a:gra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gradFill flip="none" rotWithShape="1">
                <a:gsLst>
                  <a:gs pos="0">
                    <a:srgbClr val="800000"/>
                  </a:gs>
                  <a:gs pos="50000">
                    <a:srgbClr val="FF0000"/>
                  </a:gs>
                  <a:gs pos="100000">
                    <a:srgbClr val="800000"/>
                  </a:gs>
                </a:gsLst>
                <a:lin ang="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B20-4F1A-BCEB-8EDECB9EB69A}"/>
              </c:ext>
            </c:extLst>
          </c:dPt>
          <c:val>
            <c:numRef>
              <c:f>(Jahreseinkommen!$A$17:$A$28,Jahreseinkommen!$I$16)</c:f>
              <c:numCache>
                <c:formatCode>General</c:formatCode>
                <c:ptCount val="13"/>
                <c:pt idx="12" formatCode="_(&quot;$&quot;* #.##000_);_(&quot;$&quot;* \(#.##000\);_(&quot;$&quot;* &quot;-&quot;??_);_(@_)">
                  <c:v>43622.774449999997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20-4F1A-BCEB-8EDECB9EB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1199576"/>
        <c:axId val="791196952"/>
      </c:barChart>
      <c:catAx>
        <c:axId val="785288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5290448"/>
        <c:crosses val="autoZero"/>
        <c:auto val="1"/>
        <c:lblAlgn val="ctr"/>
        <c:lblOffset val="100"/>
        <c:noMultiLvlLbl val="0"/>
      </c:catAx>
      <c:valAx>
        <c:axId val="78529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5288152"/>
        <c:crosses val="autoZero"/>
        <c:crossBetween val="between"/>
      </c:valAx>
      <c:valAx>
        <c:axId val="791196952"/>
        <c:scaling>
          <c:orientation val="minMax"/>
          <c:min val="0"/>
        </c:scaling>
        <c:delete val="0"/>
        <c:axPos val="r"/>
        <c:numFmt formatCode="#,##0\ &quot;€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91199576"/>
        <c:crosses val="max"/>
        <c:crossBetween val="between"/>
      </c:valAx>
      <c:catAx>
        <c:axId val="791199576"/>
        <c:scaling>
          <c:orientation val="minMax"/>
        </c:scaling>
        <c:delete val="1"/>
        <c:axPos val="b"/>
        <c:majorTickMark val="out"/>
        <c:minorTickMark val="none"/>
        <c:tickLblPos val="nextTo"/>
        <c:crossAx val="791196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Verteilung</a:t>
            </a:r>
            <a:r>
              <a:rPr lang="de-DE" baseline="0"/>
              <a:t> Einkommen &amp; Sonderzahlung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Jahreseinkommen!$R$3</c:f>
              <c:strCache>
                <c:ptCount val="1"/>
                <c:pt idx="0">
                  <c:v>EBM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Jahreseinkommen!$R$4:$R$15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Jahreseinkommen!$Q$4:$Q$15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3D1-47D2-9B08-5F29D4495F7A}"/>
            </c:ext>
          </c:extLst>
        </c:ser>
        <c:ser>
          <c:idx val="0"/>
          <c:order val="1"/>
          <c:tx>
            <c:strRef>
              <c:f>Jahreseinkommen!$S$3</c:f>
              <c:strCache>
                <c:ptCount val="1"/>
                <c:pt idx="0">
                  <c:v>Tarif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Jahreseinkommen!$S$4:$S$15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Jahreseinkommen!$Q$4:$Q$15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3D1-47D2-9B08-5F29D4495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5288152"/>
        <c:axId val="785290448"/>
      </c:barChart>
      <c:barChart>
        <c:barDir val="col"/>
        <c:grouping val="clustered"/>
        <c:varyColors val="0"/>
        <c:ser>
          <c:idx val="2"/>
          <c:order val="2"/>
          <c:tx>
            <c:v>JE ebm</c:v>
          </c:tx>
          <c:spPr>
            <a:gradFill>
              <a:gsLst>
                <a:gs pos="0">
                  <a:srgbClr val="000080"/>
                </a:gs>
                <a:gs pos="50000">
                  <a:srgbClr val="6080FF"/>
                </a:gs>
                <a:gs pos="100000">
                  <a:srgbClr val="000080"/>
                </a:gs>
              </a:gsLst>
              <a:lin ang="0" scaled="0"/>
            </a:gradFill>
            <a:ln>
              <a:noFill/>
            </a:ln>
            <a:effectLst/>
          </c:spPr>
          <c:invertIfNegative val="0"/>
          <c:val>
            <c:numRef>
              <c:f>(Jahreseinkommen!$A$17:$A$28,Jahreseinkommen!$R$16)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Jahreseinkommen!$Q$4:$Q$15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3D1-47D2-9B08-5F29D4495F7A}"/>
            </c:ext>
          </c:extLst>
        </c:ser>
        <c:ser>
          <c:idx val="3"/>
          <c:order val="3"/>
          <c:tx>
            <c:v>JE Tarif</c:v>
          </c:tx>
          <c:spPr>
            <a:gradFill>
              <a:gsLst>
                <a:gs pos="0">
                  <a:srgbClr val="800000"/>
                </a:gs>
                <a:gs pos="50000">
                  <a:srgbClr val="FF0000"/>
                </a:gs>
                <a:gs pos="100000">
                  <a:srgbClr val="800000"/>
                </a:gs>
              </a:gsLst>
              <a:lin ang="0" scaled="0"/>
            </a:gradFill>
            <a:ln>
              <a:noFill/>
            </a:ln>
            <a:effectLst/>
          </c:spPr>
          <c:invertIfNegative val="0"/>
          <c:val>
            <c:numRef>
              <c:f>(Jahreseinkommen!$A$17:$A$28,Jahreseinkommen!$S$16)</c:f>
              <c:numCache>
                <c:formatCode>General</c:formatCode>
                <c:ptCount val="12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Jahreseinkommen!$Q$4:$Q$15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E3D1-47D2-9B08-5F29D4495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1199576"/>
        <c:axId val="791196952"/>
      </c:barChart>
      <c:catAx>
        <c:axId val="785288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5290448"/>
        <c:crosses val="autoZero"/>
        <c:auto val="1"/>
        <c:lblAlgn val="ctr"/>
        <c:lblOffset val="100"/>
        <c:noMultiLvlLbl val="0"/>
      </c:catAx>
      <c:valAx>
        <c:axId val="78529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5288152"/>
        <c:crosses val="autoZero"/>
        <c:crossBetween val="between"/>
      </c:valAx>
      <c:valAx>
        <c:axId val="791196952"/>
        <c:scaling>
          <c:orientation val="minMax"/>
          <c:min val="0"/>
        </c:scaling>
        <c:delete val="0"/>
        <c:axPos val="r"/>
        <c:numFmt formatCode="#,##0\ &quot;€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91199576"/>
        <c:crosses val="max"/>
        <c:crossBetween val="between"/>
      </c:valAx>
      <c:catAx>
        <c:axId val="791199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1196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7" Type="http://schemas.openxmlformats.org/officeDocument/2006/relationships/image" Target="../media/image1.emf"/><Relationship Id="rId2" Type="http://schemas.openxmlformats.org/officeDocument/2006/relationships/image" Target="../media/image6.emf"/><Relationship Id="rId1" Type="http://schemas.openxmlformats.org/officeDocument/2006/relationships/image" Target="../media/image7.emf"/><Relationship Id="rId6" Type="http://schemas.openxmlformats.org/officeDocument/2006/relationships/image" Target="../media/image2.emf"/><Relationship Id="rId5" Type="http://schemas.openxmlformats.org/officeDocument/2006/relationships/image" Target="../media/image3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2</xdr:row>
          <xdr:rowOff>0</xdr:rowOff>
        </xdr:from>
        <xdr:to>
          <xdr:col>2</xdr:col>
          <xdr:colOff>3482340</xdr:colOff>
          <xdr:row>3</xdr:row>
          <xdr:rowOff>15240</xdr:rowOff>
        </xdr:to>
        <xdr:sp macro="" textlink="">
          <xdr:nvSpPr>
            <xdr:cNvPr id="11265" name="CBox_Tarif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3482340</xdr:colOff>
          <xdr:row>6</xdr:row>
          <xdr:rowOff>15240</xdr:rowOff>
        </xdr:from>
        <xdr:to>
          <xdr:col>0</xdr:col>
          <xdr:colOff>4053840</xdr:colOff>
          <xdr:row>7</xdr:row>
          <xdr:rowOff>22860</xdr:rowOff>
        </xdr:to>
        <xdr:sp macro="" textlink="">
          <xdr:nvSpPr>
            <xdr:cNvPr id="11266" name="CBox_TarifLeist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2</xdr:row>
          <xdr:rowOff>0</xdr:rowOff>
        </xdr:from>
        <xdr:to>
          <xdr:col>2</xdr:col>
          <xdr:colOff>15240</xdr:colOff>
          <xdr:row>3</xdr:row>
          <xdr:rowOff>0</xdr:rowOff>
        </xdr:to>
        <xdr:sp macro="" textlink="">
          <xdr:nvSpPr>
            <xdr:cNvPr id="11267" name="CBox_LeiV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3002280</xdr:colOff>
          <xdr:row>6</xdr:row>
          <xdr:rowOff>15240</xdr:rowOff>
        </xdr:from>
        <xdr:to>
          <xdr:col>0</xdr:col>
          <xdr:colOff>3459480</xdr:colOff>
          <xdr:row>7</xdr:row>
          <xdr:rowOff>22860</xdr:rowOff>
        </xdr:to>
        <xdr:sp macro="" textlink="">
          <xdr:nvSpPr>
            <xdr:cNvPr id="11268" name="CBox_LeiVLeist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1310640</xdr:colOff>
          <xdr:row>10</xdr:row>
          <xdr:rowOff>0</xdr:rowOff>
        </xdr:from>
        <xdr:to>
          <xdr:col>0</xdr:col>
          <xdr:colOff>2270760</xdr:colOff>
          <xdr:row>11</xdr:row>
          <xdr:rowOff>7620</xdr:rowOff>
        </xdr:to>
        <xdr:sp macro="" textlink="">
          <xdr:nvSpPr>
            <xdr:cNvPr id="11272" name="CBox_BeZu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2438400</xdr:colOff>
          <xdr:row>10</xdr:row>
          <xdr:rowOff>0</xdr:rowOff>
        </xdr:from>
        <xdr:to>
          <xdr:col>0</xdr:col>
          <xdr:colOff>2941320</xdr:colOff>
          <xdr:row>11</xdr:row>
          <xdr:rowOff>7620</xdr:rowOff>
        </xdr:to>
        <xdr:sp macro="" textlink="">
          <xdr:nvSpPr>
            <xdr:cNvPr id="11273" name="TBox_BeZu_ebm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2933700</xdr:colOff>
          <xdr:row>10</xdr:row>
          <xdr:rowOff>0</xdr:rowOff>
        </xdr:from>
        <xdr:to>
          <xdr:col>0</xdr:col>
          <xdr:colOff>3436620</xdr:colOff>
          <xdr:row>11</xdr:row>
          <xdr:rowOff>7620</xdr:rowOff>
        </xdr:to>
        <xdr:sp macro="" textlink="">
          <xdr:nvSpPr>
            <xdr:cNvPr id="11274" name="TBox_BeZu_ERA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9</xdr:col>
      <xdr:colOff>0</xdr:colOff>
      <xdr:row>35</xdr:row>
      <xdr:rowOff>0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2</xdr:col>
          <xdr:colOff>716280</xdr:colOff>
          <xdr:row>1</xdr:row>
          <xdr:rowOff>7620</xdr:rowOff>
        </xdr:to>
        <xdr:sp macro="" textlink="">
          <xdr:nvSpPr>
            <xdr:cNvPr id="12289" name="CBox_JE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2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0</xdr:colOff>
      <xdr:row>17</xdr:row>
      <xdr:rowOff>0</xdr:rowOff>
    </xdr:from>
    <xdr:to>
      <xdr:col>19</xdr:col>
      <xdr:colOff>0</xdr:colOff>
      <xdr:row>35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B0D6C7C-9DC9-4D29-B225-6D4A68001C48}" name="Tab_Vergleich" displayName="Tab_Vergleich" ref="A3:D20" totalsRowShown="0" headerRowDxfId="125" dataDxfId="124">
  <autoFilter ref="A3:D20" xr:uid="{AB0D6C7C-9DC9-4D29-B225-6D4A68001C48}">
    <filterColumn colId="0" hiddenButton="1"/>
    <filterColumn colId="1" hiddenButton="1"/>
    <filterColumn colId="2" hiddenButton="1"/>
    <filterColumn colId="3" hiddenButton="1"/>
  </autoFilter>
  <tableColumns count="4">
    <tableColumn id="1" xr3:uid="{BBAA18ED-46F1-434A-82C2-E2326E762F76}" name="Beispiel I: Fertigung Anlagenbediener_x000a_(ungelernt; 5 Jahre Betriebszugehörigkeit)" dataDxfId="123"/>
    <tableColumn id="2" xr3:uid="{8172BD62-11CB-4DB3-ACA8-237B2A05FE4A}" name="VS 1 - Werker" dataDxfId="122"/>
    <tableColumn id="3" xr3:uid="{3C29824E-BC25-433D-AFC8-C3DD9F7DCE37}" name="EG 4 - Werker / Logistiker" dataDxfId="121"/>
    <tableColumn id="4" xr3:uid="{29BC64EB-3E37-424A-9D07-900B853FE71D}" name="15%" dataDxfId="120"/>
  </tableColumns>
  <tableStyleInfo name="TableStyleLight1 2"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EB365D3-4BD9-41F8-A3D6-9670E6C21A21}" name="Tab_ERA35" displayName="Tab_ERA35" ref="A3:AG20" totalsRowShown="0" headerRowDxfId="69" dataDxfId="68">
  <autoFilter ref="A3:AG20" xr:uid="{6EB365D3-4BD9-41F8-A3D6-9670E6C21A21}"/>
  <tableColumns count="33">
    <tableColumn id="1" xr3:uid="{FDBD791F-A459-46AE-A2A6-29F501818290}" name="ERA-_x000a_Entgeltgruppe" dataDxfId="67"/>
    <tableColumn id="2" xr3:uid="{5C18A06B-7DFE-4592-988C-A514A123CA60}" name="Entgelt-_x000a_gruppen-_x000a_schlüssel" dataDxfId="66"/>
    <tableColumn id="3" xr3:uid="{3E3AF1B9-18DB-44BC-AFD3-35AAA6FCE485}" name="Grundentgelt" dataDxfId="65"/>
    <tableColumn id="4" xr3:uid="{DC4068BF-7741-4157-970D-372F5402349F}" name="1%" dataDxfId="64">
      <calculatedColumnFormula>"+" &amp; ROUND($C4*Tab_ERA35[[#Headers],[1%]],2) &amp; "€
            " &amp; ROUND($C4*(1+Tab_ERA35[[#Headers],[1%]]),2) &amp; "€"</calculatedColumnFormula>
    </tableColumn>
    <tableColumn id="5" xr3:uid="{6FF62606-CD02-4161-BB89-F0B8D486C977}" name="2%" dataDxfId="63">
      <calculatedColumnFormula>"+" &amp; ROUND($C4*Tab_ERA35[[#Headers],[2%]],2) &amp; "€
            " &amp; ROUND($C4*(1+Tab_ERA35[[#Headers],[2%]]),2) &amp; "€"</calculatedColumnFormula>
    </tableColumn>
    <tableColumn id="6" xr3:uid="{5E47021B-B06F-4680-BF9D-02B6C5148A04}" name="3%" dataDxfId="62">
      <calculatedColumnFormula>"+" &amp; ROUND($C4*Tab_ERA35[[#Headers],[2%]],2) &amp; "€
            " &amp; ROUND($C4*(1+Tab_ERA35[[#Headers],[2%]]),2) &amp; "€"</calculatedColumnFormula>
    </tableColumn>
    <tableColumn id="7" xr3:uid="{3107B8B7-8DED-43B9-B212-D743B9FF3B0C}" name="4%" dataDxfId="61">
      <calculatedColumnFormula>"+" &amp; ROUND($C4*Tab_ERA35[[#Headers],[3%]],2) &amp; "€
            " &amp; ROUND($C4*(1+Tab_ERA35[[#Headers],[3%]]),2) &amp; "€"</calculatedColumnFormula>
    </tableColumn>
    <tableColumn id="8" xr3:uid="{4B4CB1F5-9738-44D9-8467-958BD797DD28}" name="5%" dataDxfId="60">
      <calculatedColumnFormula>"+" &amp; ROUND($C4*Tab_ERA35[[#Headers],[3%]],2) &amp; "€
            " &amp; ROUND($C4*(1+Tab_ERA35[[#Headers],[3%]]),2) &amp; "€"</calculatedColumnFormula>
    </tableColumn>
    <tableColumn id="9" xr3:uid="{1C94C12A-9773-4B3C-BB82-3BA3C9EAB494}" name="6%" dataDxfId="59">
      <calculatedColumnFormula>"+" &amp; ROUND($C4*Tab_ERA35[[#Headers],[4%]],2) &amp; "€
            " &amp; ROUND($C4*(1+Tab_ERA35[[#Headers],[4%]]),2) &amp; "€"</calculatedColumnFormula>
    </tableColumn>
    <tableColumn id="10" xr3:uid="{372FF2ED-68C5-4E84-AAD9-9DFA8EFB867F}" name="7%" dataDxfId="58">
      <calculatedColumnFormula>"+" &amp; ROUND($C4*Tab_ERA35[[#Headers],[4%]],2) &amp; "€
            " &amp; ROUND($C4*(1+Tab_ERA35[[#Headers],[4%]]),2) &amp; "€"</calculatedColumnFormula>
    </tableColumn>
    <tableColumn id="11" xr3:uid="{88CA36A6-D6EB-4141-800D-64E92B7999E8}" name="8%" dataDxfId="57">
      <calculatedColumnFormula>"+" &amp; ROUND($C4*Tab_ERA35[[#Headers],[5%]],2) &amp; "€
            " &amp; ROUND($C4*(1+Tab_ERA35[[#Headers],[5%]]),2) &amp; "€"</calculatedColumnFormula>
    </tableColumn>
    <tableColumn id="12" xr3:uid="{8E73FB23-2FC9-4043-82D6-609AD5C5C45C}" name="9%" dataDxfId="56">
      <calculatedColumnFormula>"+" &amp; ROUND($C4*Tab_ERA35[[#Headers],[5%]],2) &amp; "€
            " &amp; ROUND($C4*(1+Tab_ERA35[[#Headers],[5%]]),2) &amp; "€"</calculatedColumnFormula>
    </tableColumn>
    <tableColumn id="13" xr3:uid="{63A9DBB2-145E-46A8-AD95-2BE98D5488CE}" name="10%" dataDxfId="55">
      <calculatedColumnFormula>"+" &amp; ROUND($C4*Tab_ERA35[[#Headers],[6%]],2) &amp; "€
            " &amp; ROUND($C4*(1+Tab_ERA35[[#Headers],[6%]]),2) &amp; "€"</calculatedColumnFormula>
    </tableColumn>
    <tableColumn id="14" xr3:uid="{0F6C5F35-0658-4CBA-9D25-A64A18F23919}" name="11%" dataDxfId="54">
      <calculatedColumnFormula>"+" &amp; ROUND($C4*Tab_ERA35[[#Headers],[6%]],2) &amp; "€
            " &amp; ROUND($C4*(1+Tab_ERA35[[#Headers],[6%]]),2) &amp; "€"</calculatedColumnFormula>
    </tableColumn>
    <tableColumn id="15" xr3:uid="{D76C19D2-76A4-4AA0-B3C8-3BD3EB5936D9}" name="12%" dataDxfId="53">
      <calculatedColumnFormula>"+" &amp; ROUND($C4*Tab_ERA35[[#Headers],[7%]],2) &amp; "€
            " &amp; ROUND($C4*(1+Tab_ERA35[[#Headers],[7%]]),2) &amp; "€"</calculatedColumnFormula>
    </tableColumn>
    <tableColumn id="16" xr3:uid="{22519168-293F-4861-B6AF-7A8ED13B1F1B}" name="13%" dataDxfId="52">
      <calculatedColumnFormula>"+" &amp; ROUND($C4*Tab_ERA35[[#Headers],[7%]],2) &amp; "€
            " &amp; ROUND($C4*(1+Tab_ERA35[[#Headers],[7%]]),2) &amp; "€"</calculatedColumnFormula>
    </tableColumn>
    <tableColumn id="17" xr3:uid="{A82963F1-3A0D-49C8-985E-AF0BEA8F776A}" name="14%" dataDxfId="51">
      <calculatedColumnFormula>"+" &amp; ROUND($C4*Tab_ERA35[[#Headers],[8%]],2) &amp; "€
            " &amp; ROUND($C4*(1+Tab_ERA35[[#Headers],[8%]]),2) &amp; "€"</calculatedColumnFormula>
    </tableColumn>
    <tableColumn id="18" xr3:uid="{24EAF1D2-557F-4DBC-AAB4-A24EFF07CD3D}" name="15%" dataDxfId="50">
      <calculatedColumnFormula>"+" &amp; ROUND($C4*Tab_ERA35[[#Headers],[8%]],2) &amp; "€
            " &amp; ROUND($C4*(1+Tab_ERA35[[#Headers],[8%]]),2) &amp; "€"</calculatedColumnFormula>
    </tableColumn>
    <tableColumn id="19" xr3:uid="{F2E4DF02-2A12-408C-AD79-8FCEAB379069}" name="16%" dataDxfId="49">
      <calculatedColumnFormula>"+" &amp; ROUND($C4*Tab_ERA35[[#Headers],[9%]],2) &amp; "€
            " &amp; ROUND($C4*(1+Tab_ERA35[[#Headers],[9%]]),2) &amp; "€"</calculatedColumnFormula>
    </tableColumn>
    <tableColumn id="20" xr3:uid="{029FF758-40C5-4124-AF61-7590583CB720}" name="17%" dataDxfId="48">
      <calculatedColumnFormula>"+" &amp; ROUND($C4*Tab_ERA35[[#Headers],[9%]],2) &amp; "€
            " &amp; ROUND($C4*(1+Tab_ERA35[[#Headers],[9%]]),2) &amp; "€"</calculatedColumnFormula>
    </tableColumn>
    <tableColumn id="21" xr3:uid="{90AEB67F-8C0E-42AE-9386-920CC18DEF1F}" name="18%" dataDxfId="47">
      <calculatedColumnFormula>"+" &amp; ROUND($C4*Tab_ERA35[[#Headers],[10%]],2) &amp; "€
            " &amp; ROUND($C4*(1+Tab_ERA35[[#Headers],[10%]]),2) &amp; "€"</calculatedColumnFormula>
    </tableColumn>
    <tableColumn id="22" xr3:uid="{AE0BEA5B-D252-4B74-A2B2-10ED9103A795}" name="19%" dataDxfId="46">
      <calculatedColumnFormula>"+" &amp; ROUND($C4*Tab_ERA35[[#Headers],[10%]],2) &amp; "€
            " &amp; ROUND($C4*(1+Tab_ERA35[[#Headers],[10%]]),2) &amp; "€"</calculatedColumnFormula>
    </tableColumn>
    <tableColumn id="23" xr3:uid="{351AF0D3-E2D0-45F9-A145-E2C2718FBDD4}" name="20%" dataDxfId="45">
      <calculatedColumnFormula>"+" &amp; ROUND($C4*Tab_ERA35[[#Headers],[11%]],2) &amp; "€
            " &amp; ROUND($C4*(1+Tab_ERA35[[#Headers],[11%]]),2) &amp; "€"</calculatedColumnFormula>
    </tableColumn>
    <tableColumn id="24" xr3:uid="{8683E912-5BDB-4DF0-A0B3-C48F5591BBB8}" name="21%" dataDxfId="44">
      <calculatedColumnFormula>"+" &amp; ROUND($C4*Tab_ERA35[[#Headers],[11%]],2) &amp; "€
            " &amp; ROUND($C4*(1+Tab_ERA35[[#Headers],[11%]]),2) &amp; "€"</calculatedColumnFormula>
    </tableColumn>
    <tableColumn id="25" xr3:uid="{1493C7D6-8B3D-46A4-9B2B-74E90B55F517}" name="22%" dataDxfId="43">
      <calculatedColumnFormula>"+" &amp; ROUND($C4*Tab_ERA35[[#Headers],[12%]],2) &amp; "€
            " &amp; ROUND($C4*(1+Tab_ERA35[[#Headers],[12%]]),2) &amp; "€"</calculatedColumnFormula>
    </tableColumn>
    <tableColumn id="26" xr3:uid="{A4F8CAB9-4FB5-4319-A745-70F1737DEA71}" name="23%" dataDxfId="42">
      <calculatedColumnFormula>"+" &amp; ROUND($C4*Tab_ERA35[[#Headers],[12%]],2) &amp; "€
            " &amp; ROUND($C4*(1+Tab_ERA35[[#Headers],[12%]]),2) &amp; "€"</calculatedColumnFormula>
    </tableColumn>
    <tableColumn id="27" xr3:uid="{272F4625-D609-49DF-BAFE-ACCE13E03FCE}" name="24%" dataDxfId="41">
      <calculatedColumnFormula>"+" &amp; ROUND($C4*Tab_ERA35[[#Headers],[13%]],2) &amp; "€
            " &amp; ROUND($C4*(1+Tab_ERA35[[#Headers],[13%]]),2) &amp; "€"</calculatedColumnFormula>
    </tableColumn>
    <tableColumn id="28" xr3:uid="{311D897C-B65E-4EAF-B911-114880CBE33E}" name="25%" dataDxfId="40">
      <calculatedColumnFormula>"+" &amp; ROUND($C4*Tab_ERA35[[#Headers],[13%]],2) &amp; "€
            " &amp; ROUND($C4*(1+Tab_ERA35[[#Headers],[13%]]),2) &amp; "€"</calculatedColumnFormula>
    </tableColumn>
    <tableColumn id="29" xr3:uid="{3081AEFE-452A-4CBD-865A-BCC1E3355974}" name="26%" dataDxfId="39">
      <calculatedColumnFormula>"+" &amp; ROUND($C4*Tab_ERA35[[#Headers],[14%]],2) &amp; "€
            " &amp; ROUND($C4*(1+Tab_ERA35[[#Headers],[14%]]),2) &amp; "€"</calculatedColumnFormula>
    </tableColumn>
    <tableColumn id="30" xr3:uid="{0B6A5BA1-6190-4786-9CAD-E94D2AED5664}" name="27%" dataDxfId="38">
      <calculatedColumnFormula>"+" &amp; ROUND($C4*Tab_ERA35[[#Headers],[14%]],2) &amp; "€
            " &amp; ROUND($C4*(1+Tab_ERA35[[#Headers],[14%]]),2) &amp; "€"</calculatedColumnFormula>
    </tableColumn>
    <tableColumn id="31" xr3:uid="{29E23622-9542-4C07-9023-9930D34519BD}" name="28%" dataDxfId="37">
      <calculatedColumnFormula>"+" &amp; ROUND($C4*Tab_ERA35[[#Headers],[15%]],2) &amp; "€
            " &amp; ROUND($C4*(1+Tab_ERA35[[#Headers],[15%]]),2) &amp; "€"</calculatedColumnFormula>
    </tableColumn>
    <tableColumn id="32" xr3:uid="{1D67FDAF-4CF2-4B97-B57F-D70C83592313}" name="29%" dataDxfId="36">
      <calculatedColumnFormula>"+" &amp; ROUND($C4*Tab_ERA35[[#Headers],[15%]],2) &amp; "€
            " &amp; ROUND($C4*(1+Tab_ERA35[[#Headers],[15%]]),2) &amp; "€"</calculatedColumnFormula>
    </tableColumn>
    <tableColumn id="33" xr3:uid="{0F732278-72CB-435E-AE3A-45B3316D8849}" name="30%" dataDxfId="35">
      <calculatedColumnFormula>"+" &amp; ROUND($C4*Tab_ERA35[[#Headers],[16%]],2) &amp; "€
            " &amp; ROUND($C4*(1+Tab_ERA35[[#Headers],[16%]]),2) &amp; "€"</calculatedColumnFormula>
    </tableColumn>
  </tableColumns>
  <tableStyleInfo name="TableStyleMedium10 2"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A97AF8E-1DA3-42C5-A75D-7F0D6E94AF90}" name="Tab_ERA37" displayName="Tab_ERA37" ref="A23:AG40" totalsRowShown="0" headerRowDxfId="34" dataDxfId="33">
  <autoFilter ref="A23:AG40" xr:uid="{EA97AF8E-1DA3-42C5-A75D-7F0D6E94AF90}"/>
  <tableColumns count="33">
    <tableColumn id="1" xr3:uid="{6C00D8C3-B94D-4CA9-8919-9DCD54996E0C}" name="ERA-_x000a_Entgeltgruppe" dataDxfId="32"/>
    <tableColumn id="2" xr3:uid="{EA54D19A-0B4D-4E4E-8C2B-84ACFB7DB889}" name="Entgelt-_x000a_gruppen-_x000a_schlüssel" dataDxfId="31"/>
    <tableColumn id="3" xr3:uid="{EF24ECEE-63B2-4816-9EF0-64E480773D95}" name="Grundentgelt" dataDxfId="30">
      <calculatedColumnFormula>C4*160.95/151.25</calculatedColumnFormula>
    </tableColumn>
    <tableColumn id="4" xr3:uid="{67C900C0-E8D2-4CE9-8411-2BAA323D0947}" name="1%" dataDxfId="29">
      <calculatedColumnFormula>"+" &amp; ROUND($C24*Tab_ERA37[[#Headers],[1%]],2) &amp; "€
            " &amp; ROUND($C24*(1+Tab_ERA37[[#Headers],[1%]]),2) &amp; "€"</calculatedColumnFormula>
    </tableColumn>
    <tableColumn id="5" xr3:uid="{82768F22-33BA-4C15-85EE-0ED3686E6625}" name="2%" dataDxfId="28">
      <calculatedColumnFormula>"+" &amp; ROUND($C24*Tab_ERA37[[#Headers],[2%]],2) &amp; "€
            " &amp; ROUND($C24*(1+Tab_ERA37[[#Headers],[2%]]),2) &amp; "€"</calculatedColumnFormula>
    </tableColumn>
    <tableColumn id="6" xr3:uid="{D8063710-72B1-4224-A7C3-649560211297}" name="3%" dataDxfId="27">
      <calculatedColumnFormula>"+" &amp; ROUND($C24*Tab_ERA37[[#Headers],[2%]],2) &amp; "€
            " &amp; ROUND($C24*(1+Tab_ERA37[[#Headers],[2%]]),2) &amp; "€"</calculatedColumnFormula>
    </tableColumn>
    <tableColumn id="7" xr3:uid="{9C39B45C-8D7B-4748-82A8-848157AF470D}" name="4%" dataDxfId="26">
      <calculatedColumnFormula>"+" &amp; ROUND($C24*Tab_ERA37[[#Headers],[3%]],2) &amp; "€
            " &amp; ROUND($C24*(1+Tab_ERA37[[#Headers],[3%]]),2) &amp; "€"</calculatedColumnFormula>
    </tableColumn>
    <tableColumn id="8" xr3:uid="{874536A6-4B7D-42EC-A087-9FF8B9F53FD4}" name="5%" dataDxfId="25">
      <calculatedColumnFormula>"+" &amp; ROUND($C24*Tab_ERA37[[#Headers],[3%]],2) &amp; "€
            " &amp; ROUND($C24*(1+Tab_ERA37[[#Headers],[3%]]),2) &amp; "€"</calculatedColumnFormula>
    </tableColumn>
    <tableColumn id="9" xr3:uid="{10C3B469-1FAE-43CE-8CCF-FFEA82101E2D}" name="6%" dataDxfId="24">
      <calculatedColumnFormula>"+" &amp; ROUND($C24*Tab_ERA37[[#Headers],[4%]],2) &amp; "€
            " &amp; ROUND($C24*(1+Tab_ERA37[[#Headers],[4%]]),2) &amp; "€"</calculatedColumnFormula>
    </tableColumn>
    <tableColumn id="10" xr3:uid="{A3D3097F-6A7E-4A5D-827A-F2DA34D71938}" name="7%" dataDxfId="23">
      <calculatedColumnFormula>"+" &amp; ROUND($C24*Tab_ERA37[[#Headers],[4%]],2) &amp; "€
            " &amp; ROUND($C24*(1+Tab_ERA37[[#Headers],[4%]]),2) &amp; "€"</calculatedColumnFormula>
    </tableColumn>
    <tableColumn id="11" xr3:uid="{E18CA9E1-B82B-48BD-BC9E-6713F01C090F}" name="8%" dataDxfId="22">
      <calculatedColumnFormula>"+" &amp; ROUND($C24*Tab_ERA37[[#Headers],[5%]],2) &amp; "€
            " &amp; ROUND($C24*(1+Tab_ERA37[[#Headers],[5%]]),2) &amp; "€"</calculatedColumnFormula>
    </tableColumn>
    <tableColumn id="12" xr3:uid="{851BB685-29FE-496E-A25C-9A019F6A1D3A}" name="9%" dataDxfId="21">
      <calculatedColumnFormula>"+" &amp; ROUND($C24*Tab_ERA37[[#Headers],[5%]],2) &amp; "€
            " &amp; ROUND($C24*(1+Tab_ERA37[[#Headers],[5%]]),2) &amp; "€"</calculatedColumnFormula>
    </tableColumn>
    <tableColumn id="13" xr3:uid="{ECBD8952-D630-4050-8561-F0575A3EFAE0}" name="10%" dataDxfId="20">
      <calculatedColumnFormula>"+" &amp; ROUND($C24*Tab_ERA37[[#Headers],[6%]],2) &amp; "€
            " &amp; ROUND($C24*(1+Tab_ERA37[[#Headers],[6%]]),2) &amp; "€"</calculatedColumnFormula>
    </tableColumn>
    <tableColumn id="14" xr3:uid="{B5F226F0-4CAB-49DF-9881-DFB4A3166F0D}" name="11%" dataDxfId="19">
      <calculatedColumnFormula>"+" &amp; ROUND($C24*Tab_ERA37[[#Headers],[6%]],2) &amp; "€
            " &amp; ROUND($C24*(1+Tab_ERA37[[#Headers],[6%]]),2) &amp; "€"</calculatedColumnFormula>
    </tableColumn>
    <tableColumn id="15" xr3:uid="{AF451947-A91D-40AC-9AE4-24DA38293A3A}" name="12%" dataDxfId="18">
      <calculatedColumnFormula>"+" &amp; ROUND($C24*Tab_ERA37[[#Headers],[7%]],2) &amp; "€
            " &amp; ROUND($C24*(1+Tab_ERA37[[#Headers],[7%]]),2) &amp; "€"</calculatedColumnFormula>
    </tableColumn>
    <tableColumn id="16" xr3:uid="{BCB53715-E223-4E02-B3CD-0DACA2B65392}" name="13%" dataDxfId="17">
      <calculatedColumnFormula>"+" &amp; ROUND($C24*Tab_ERA37[[#Headers],[7%]],2) &amp; "€
            " &amp; ROUND($C24*(1+Tab_ERA37[[#Headers],[7%]]),2) &amp; "€"</calculatedColumnFormula>
    </tableColumn>
    <tableColumn id="17" xr3:uid="{49F9C682-2B4E-4C75-BAAE-0E8CAEC1C795}" name="14%" dataDxfId="16">
      <calculatedColumnFormula>"+" &amp; ROUND($C24*Tab_ERA37[[#Headers],[8%]],2) &amp; "€
            " &amp; ROUND($C24*(1+Tab_ERA37[[#Headers],[8%]]),2) &amp; "€"</calculatedColumnFormula>
    </tableColumn>
    <tableColumn id="18" xr3:uid="{086B3A00-27B4-4010-9C53-846DC6E7CF91}" name="15%" dataDxfId="15">
      <calculatedColumnFormula>"+" &amp; ROUND($C24*Tab_ERA37[[#Headers],[8%]],2) &amp; "€
            " &amp; ROUND($C24*(1+Tab_ERA37[[#Headers],[8%]]),2) &amp; "€"</calculatedColumnFormula>
    </tableColumn>
    <tableColumn id="19" xr3:uid="{4E6BED50-DC05-42AE-A403-72B48095BCE6}" name="16%" dataDxfId="14">
      <calculatedColumnFormula>"+" &amp; ROUND($C24*Tab_ERA37[[#Headers],[9%]],2) &amp; "€
            " &amp; ROUND($C24*(1+Tab_ERA37[[#Headers],[9%]]),2) &amp; "€"</calculatedColumnFormula>
    </tableColumn>
    <tableColumn id="20" xr3:uid="{BBDC68EC-7284-4ED6-8045-ECC8F8758547}" name="17%" dataDxfId="13">
      <calculatedColumnFormula>"+" &amp; ROUND($C24*Tab_ERA37[[#Headers],[9%]],2) &amp; "€
            " &amp; ROUND($C24*(1+Tab_ERA37[[#Headers],[9%]]),2) &amp; "€"</calculatedColumnFormula>
    </tableColumn>
    <tableColumn id="21" xr3:uid="{5AE47897-D0C7-40B2-B407-65CC4109C782}" name="18%" dataDxfId="12">
      <calculatedColumnFormula>"+" &amp; ROUND($C24*Tab_ERA37[[#Headers],[10%]],2) &amp; "€
            " &amp; ROUND($C24*(1+Tab_ERA37[[#Headers],[10%]]),2) &amp; "€"</calculatedColumnFormula>
    </tableColumn>
    <tableColumn id="22" xr3:uid="{5C4CFE33-3A80-4F9E-8F2F-2AF856B07EDC}" name="19%" dataDxfId="11">
      <calculatedColumnFormula>"+" &amp; ROUND($C24*Tab_ERA37[[#Headers],[10%]],2) &amp; "€
            " &amp; ROUND($C24*(1+Tab_ERA37[[#Headers],[10%]]),2) &amp; "€"</calculatedColumnFormula>
    </tableColumn>
    <tableColumn id="23" xr3:uid="{89C29C12-0EFB-4567-AF09-6402817C730D}" name="20%" dataDxfId="10">
      <calculatedColumnFormula>"+" &amp; ROUND($C24*Tab_ERA37[[#Headers],[11%]],2) &amp; "€
            " &amp; ROUND($C24*(1+Tab_ERA37[[#Headers],[11%]]),2) &amp; "€"</calculatedColumnFormula>
    </tableColumn>
    <tableColumn id="24" xr3:uid="{7F0502D2-CB7B-4E31-AD68-C981CEDC6201}" name="21%" dataDxfId="9">
      <calculatedColumnFormula>"+" &amp; ROUND($C24*Tab_ERA37[[#Headers],[11%]],2) &amp; "€
            " &amp; ROUND($C24*(1+Tab_ERA37[[#Headers],[11%]]),2) &amp; "€"</calculatedColumnFormula>
    </tableColumn>
    <tableColumn id="25" xr3:uid="{819ACD3D-BFBA-460D-9F3F-F501444F8E21}" name="22%" dataDxfId="8">
      <calculatedColumnFormula>"+" &amp; ROUND($C24*Tab_ERA37[[#Headers],[12%]],2) &amp; "€
            " &amp; ROUND($C24*(1+Tab_ERA37[[#Headers],[12%]]),2) &amp; "€"</calculatedColumnFormula>
    </tableColumn>
    <tableColumn id="26" xr3:uid="{3C80B674-92F1-4D95-AF4F-4BDA6198B53E}" name="23%" dataDxfId="7">
      <calculatedColumnFormula>"+" &amp; ROUND($C24*Tab_ERA37[[#Headers],[12%]],2) &amp; "€
            " &amp; ROUND($C24*(1+Tab_ERA37[[#Headers],[12%]]),2) &amp; "€"</calculatedColumnFormula>
    </tableColumn>
    <tableColumn id="27" xr3:uid="{E84F4BC8-3643-48CB-BF9C-050E0B73162F}" name="24%" dataDxfId="6">
      <calculatedColumnFormula>"+" &amp; ROUND($C24*Tab_ERA37[[#Headers],[13%]],2) &amp; "€
            " &amp; ROUND($C24*(1+Tab_ERA37[[#Headers],[13%]]),2) &amp; "€"</calculatedColumnFormula>
    </tableColumn>
    <tableColumn id="28" xr3:uid="{4102C462-BAA8-435A-AAF8-E452243B426C}" name="25%" dataDxfId="5">
      <calculatedColumnFormula>"+" &amp; ROUND($C24*Tab_ERA37[[#Headers],[13%]],2) &amp; "€
            " &amp; ROUND($C24*(1+Tab_ERA37[[#Headers],[13%]]),2) &amp; "€"</calculatedColumnFormula>
    </tableColumn>
    <tableColumn id="29" xr3:uid="{0099E2DA-C66F-4E28-8E10-8F1E9CF56FF9}" name="26%" dataDxfId="4">
      <calculatedColumnFormula>"+" &amp; ROUND($C24*Tab_ERA37[[#Headers],[14%]],2) &amp; "€
            " &amp; ROUND($C24*(1+Tab_ERA37[[#Headers],[14%]]),2) &amp; "€"</calculatedColumnFormula>
    </tableColumn>
    <tableColumn id="30" xr3:uid="{0B563496-BBEA-4774-8120-1C6DB8F6D6A3}" name="27%" dataDxfId="3">
      <calculatedColumnFormula>"+" &amp; ROUND($C24*Tab_ERA37[[#Headers],[14%]],2) &amp; "€
            " &amp; ROUND($C24*(1+Tab_ERA37[[#Headers],[14%]]),2) &amp; "€"</calculatedColumnFormula>
    </tableColumn>
    <tableColumn id="31" xr3:uid="{2995B826-0E9C-4D44-8054-19A3A12B35DF}" name="28%" dataDxfId="2">
      <calculatedColumnFormula>"+" &amp; ROUND($C24*Tab_ERA37[[#Headers],[15%]],2) &amp; "€
            " &amp; ROUND($C24*(1+Tab_ERA37[[#Headers],[15%]]),2) &amp; "€"</calculatedColumnFormula>
    </tableColumn>
    <tableColumn id="32" xr3:uid="{0E393DFF-2E5E-4C54-9D8D-D21B86740DB8}" name="29%" dataDxfId="1">
      <calculatedColumnFormula>"+" &amp; ROUND($C24*Tab_ERA37[[#Headers],[15%]],2) &amp; "€
            " &amp; ROUND($C24*(1+Tab_ERA37[[#Headers],[15%]]),2) &amp; "€"</calculatedColumnFormula>
    </tableColumn>
    <tableColumn id="33" xr3:uid="{37BA2142-858B-4B35-BD22-CD5F2B9EF208}" name="30%" dataDxfId="0">
      <calculatedColumnFormula>"+" &amp; ROUND($C24*Tab_ERA37[[#Headers],[16%]],2) &amp; "€
            " &amp; ROUND($C24*(1+Tab_ERA37[[#Headers],[16%]]),2) &amp; "€"</calculatedColumnFormula>
    </tableColumn>
  </tableColumns>
  <tableStyleInfo name="TableStyleMedium10 2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3A1D494-9F24-4997-B388-7AE01DF2C328}" name="Tab_SZ35" displayName="Tab_SZ35" ref="A3:E15" totalsRowShown="0" headerRowDxfId="119" dataDxfId="118">
  <autoFilter ref="A3:E15" xr:uid="{03A1D494-9F24-4997-B388-7AE01DF2C32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7F5C135-AE4C-4CA3-8BAD-FD1FE09821A4}" name=" " dataDxfId="117" dataCellStyle="Währung"/>
    <tableColumn id="2" xr3:uid="{3ACD847A-B374-4836-9749-23592AE39BF1}" name="Ebmpapst " dataDxfId="116" dataCellStyle="Währung"/>
    <tableColumn id="3" xr3:uid="{75F737EB-4352-4A79-A585-E97E43BFD405}" name="  " dataDxfId="115" dataCellStyle="Währung"/>
    <tableColumn id="4" xr3:uid="{8F45150A-9C1B-4C80-94AE-1194C7F0E721}" name="Tarif " dataDxfId="114" dataCellStyle="Währung"/>
    <tableColumn id="5" xr3:uid="{321E7328-E7E4-4B3D-8BE5-CFA7F609DCED}" name="   " dataDxfId="113" dataCellStyle="Währung"/>
  </tableColumns>
  <tableStyleInfo name="TableStyleLight1 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8530B8-DFC1-400F-9041-C8A0D52065A8}" name="Tab_JE35" displayName="Tab_JE35" ref="G3:I15" totalsRowShown="0" headerRowDxfId="112" dataDxfId="111">
  <autoFilter ref="G3:I15" xr:uid="{E78530B8-DFC1-400F-9041-C8A0D52065A8}"/>
  <tableColumns count="3">
    <tableColumn id="1" xr3:uid="{260BC1FC-FBDF-4549-BA94-902A97FDAAC4}" name=" " dataDxfId="110" dataCellStyle="Währung"/>
    <tableColumn id="2" xr3:uid="{7A1A8BAA-CBB3-42CA-BED2-621E8F038065}" name="EBM" dataDxfId="109" dataCellStyle="Währung">
      <calculatedColumnFormula>VLOOKUP(LEFT($B$1,4),Tab_LeiV_MW[[ ]:[B2]],6,FALSE)+Tab_SZ35[[#This Row],[  ]]</calculatedColumnFormula>
    </tableColumn>
    <tableColumn id="3" xr3:uid="{8F492E2F-0C2D-44CE-916E-5542A0FC60B2}" name="Tarif" dataDxfId="108" dataCellStyle="Währung">
      <calculatedColumnFormula>VLOOKUP($C$1,Tab_ERA35[[ERA-
Entgeltgruppe]:[Grundentgelt]],3,FALSE)*1.15+Tab_SZ35[[#This Row],[   ]]</calculatedColumnFormula>
    </tableColumn>
  </tableColumns>
  <tableStyleInfo name="TableStyleLight1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C38CB61-D612-42ED-9ACA-94D20B855BA5}" name="Tab_SZ37" displayName="Tab_SZ37" ref="K3:O15" totalsRowShown="0">
  <autoFilter ref="K3:O15" xr:uid="{1C38CB61-D612-42ED-9ACA-94D20B855BA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BDF8DFB-5F49-4DE3-BF8F-490005386D29}" name=" " dataDxfId="107" dataCellStyle="Währung"/>
    <tableColumn id="2" xr3:uid="{67891CCF-04AB-48C7-ABAD-F10D69390E5F}" name="Ebmpapst " dataDxfId="106" dataCellStyle="Währung"/>
    <tableColumn id="3" xr3:uid="{DF003CFC-94C9-4F24-A5FC-C221029786F0}" name="  " dataDxfId="105" dataCellStyle="Währung"/>
    <tableColumn id="4" xr3:uid="{1C19CC17-1B1E-469E-9572-E079CE5614B6}" name="Tarif " dataDxfId="104" dataCellStyle="Währung"/>
    <tableColumn id="5" xr3:uid="{B407A346-460E-4623-A521-9AE685E82F07}" name="   " dataDxfId="103" dataCellStyle="Währung"/>
  </tableColumns>
  <tableStyleInfo name="TableStyleLight1 2"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E854D71-E3ED-4BC0-B040-D1E20E972786}" name="Tab_JE37" displayName="Tab_JE37" ref="Q3:S15" totalsRowShown="0">
  <autoFilter ref="Q3:S15" xr:uid="{EE854D71-E3ED-4BC0-B040-D1E20E972786}">
    <filterColumn colId="0" hiddenButton="1"/>
    <filterColumn colId="1" hiddenButton="1"/>
    <filterColumn colId="2" hiddenButton="1"/>
  </autoFilter>
  <tableColumns count="3">
    <tableColumn id="1" xr3:uid="{FEC4D6EC-07BB-41C7-8AD1-0866E66DD7FA}" name=" " dataDxfId="102" dataCellStyle="Währung"/>
    <tableColumn id="2" xr3:uid="{4A40ED7F-787E-45E3-AF61-DA713AAF01B4}" name="EBM" dataDxfId="101" dataCellStyle="Währung">
      <calculatedColumnFormula>VLOOKUP(LEFT($B$1,4),Tab_LeiV_MW[[ ]:[B2]],6,FALSE)+Tab_SZ37[[#This Row],[  ]]</calculatedColumnFormula>
    </tableColumn>
    <tableColumn id="3" xr3:uid="{ACC7BD1C-7C03-430E-B9E0-19CE724D86E5}" name="Tarif" dataDxfId="100" dataCellStyle="Währung">
      <calculatedColumnFormula>VLOOKUP($C$1,Tab_ERA37[[ERA-
Entgeltgruppe]:[Grundentgelt]],3,FALSE)*1.15+Tab_SZ37[[#This Row],[   ]]</calculatedColumnFormula>
    </tableColumn>
  </tableColumns>
  <tableStyleInfo name="TableStyleLight1 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2357B0B-D065-4141-AE3D-0629B4BD3501}" name="Tab_SchichtZu_Tarif" displayName="Tab_SchichtZu_Tarif" ref="A14:D22" totalsRowShown="0" headerRowDxfId="99" dataDxfId="98">
  <autoFilter ref="A14:D22" xr:uid="{D2357B0B-D065-4141-AE3D-0629B4BD3501}">
    <filterColumn colId="0" hiddenButton="1"/>
    <filterColumn colId="1" hiddenButton="1"/>
    <filterColumn colId="2" hiddenButton="1"/>
    <filterColumn colId="3" hiddenButton="1"/>
  </autoFilter>
  <tableColumns count="4">
    <tableColumn id="1" xr3:uid="{51FD5553-6577-414F-894E-4BB66C48F03B}" name=" " dataDxfId="97"/>
    <tableColumn id="4" xr3:uid="{2D740965-2690-45E7-A4B8-3F4B45301286}" name="Zeitraum" dataDxfId="96"/>
    <tableColumn id="3" xr3:uid="{03CC790B-AFAE-4F5D-B249-0CE02E6E8083}" name="Steuer" dataDxfId="95"/>
    <tableColumn id="2" xr3:uid="{07BDCC02-859C-485D-B1B6-CA9C1A507396}" name="Zuschlag" dataDxfId="94"/>
  </tableColumns>
  <tableStyleInfo name="TableStyleMedium10 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88F8048-9BA6-4C63-AD07-67B8AD52C1BD}" name="Tab_SchichtZu_ebm" displayName="Tab_SchichtZu_ebm" ref="A3:D11" totalsRowShown="0" headerRowDxfId="93" dataDxfId="92">
  <autoFilter ref="A3:D11" xr:uid="{288F8048-9BA6-4C63-AD07-67B8AD52C1BD}">
    <filterColumn colId="0" hiddenButton="1"/>
    <filterColumn colId="1" hiddenButton="1"/>
    <filterColumn colId="2" hiddenButton="1"/>
    <filterColumn colId="3" hiddenButton="1"/>
  </autoFilter>
  <tableColumns count="4">
    <tableColumn id="1" xr3:uid="{DD928BA1-6B33-47F2-90AB-1C2F856129B1}" name=" " dataDxfId="91"/>
    <tableColumn id="4" xr3:uid="{3B11AAC2-4305-46DD-8E91-4CE0568C104A}" name="Zeitraum" dataDxfId="90"/>
    <tableColumn id="3" xr3:uid="{3C8ABB88-ABD0-4B21-A0EB-07590A492E57}" name="Steuer" dataDxfId="89"/>
    <tableColumn id="2" xr3:uid="{6C81B165-1A77-41BB-9062-F920C37150C7}" name="Zuschlag" dataDxfId="8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4D207EF-2D74-4286-AF97-79528C09186E}" name="Tab_LeiV" displayName="Tab_LeiV" ref="A3:N12" totalsRowShown="0">
  <autoFilter ref="A3:N12" xr:uid="{54D207EF-2D74-4286-AF97-79528C09186E}"/>
  <tableColumns count="14">
    <tableColumn id="1" xr3:uid="{D83E2E6C-1F8C-4C7A-81E7-2F6FEB54CCD0}" name=" "/>
    <tableColumn id="15" xr3:uid="{38F4B9A4-FC72-4679-AE45-B7A916D92A02}" name="  "/>
    <tableColumn id="2" xr3:uid="{4825EB2F-98C8-4F97-A76F-AA48843426A5}" name="Dmin" dataDxfId="87">
      <calculatedColumnFormula>ROUND($E4*(1+C$13),2)</calculatedColumnFormula>
    </tableColumn>
    <tableColumn id="3" xr3:uid="{0FECF610-9552-48EE-8699-91177CB83033}" name="Dmax" dataDxfId="86">
      <calculatedColumnFormula>E4-0.01</calculatedColumnFormula>
    </tableColumn>
    <tableColumn id="4" xr3:uid="{B428C2BF-56AD-4788-A2DC-E74B552E4DB3}" name="Cmin" dataDxfId="85"/>
    <tableColumn id="5" xr3:uid="{5782703E-48BE-4FCE-AAA7-2073E673D12E}" name="Cmax" dataDxfId="84">
      <calculatedColumnFormula>ROUND($E4*(1+G$13),2)-0.01</calculatedColumnFormula>
    </tableColumn>
    <tableColumn id="6" xr3:uid="{3FA4BDCD-F633-4D18-B31B-8B02540B841F}" name="B3min" dataDxfId="83">
      <calculatedColumnFormula>ROUND($E4*(1+G$13),2)</calculatedColumnFormula>
    </tableColumn>
    <tableColumn id="7" xr3:uid="{DEEE57F7-D9F5-4B31-9E80-A10D5A50D7D2}" name="B3max" dataDxfId="82">
      <calculatedColumnFormula>ROUND($E4*(1+I$13),2)-0.01</calculatedColumnFormula>
    </tableColumn>
    <tableColumn id="8" xr3:uid="{A8DBB676-C5D4-4EBB-A89A-A8EDBC6C08F8}" name="B2min" dataDxfId="81">
      <calculatedColumnFormula>ROUND($E4*(1+I$13),2)</calculatedColumnFormula>
    </tableColumn>
    <tableColumn id="9" xr3:uid="{068EF2E6-4A47-4152-8E1F-A4E25C1854D3}" name="B2max" dataDxfId="80">
      <calculatedColumnFormula>ROUND($E4*(1+K$13),2)-0.01</calculatedColumnFormula>
    </tableColumn>
    <tableColumn id="10" xr3:uid="{1B6980EB-285D-466B-A073-9CFA58EBB5BB}" name="B1min" dataDxfId="79">
      <calculatedColumnFormula>ROUND($E4*(1+K$13),2)</calculatedColumnFormula>
    </tableColumn>
    <tableColumn id="11" xr3:uid="{87E4D072-11E4-418D-908D-467C4D3ABD68}" name="B1max" dataDxfId="78">
      <calculatedColumnFormula>ROUND($E4*(1+M$13),2)-0.01</calculatedColumnFormula>
    </tableColumn>
    <tableColumn id="12" xr3:uid="{810EEB7B-B6EC-42A4-B558-8959CAC8A153}" name="Amin" dataDxfId="77">
      <calculatedColumnFormula>ROUND($E4*(1+M$13),2)</calculatedColumnFormula>
    </tableColumn>
    <tableColumn id="13" xr3:uid="{D8FE88BA-8E95-4DB6-9DF8-EC89887F996C}" name="Amax" dataDxfId="76">
      <calculatedColumnFormula>ROUND($E4*(1+N$13),2)</calculatedColumnFormula>
    </tableColumn>
  </tableColumns>
  <tableStyleInfo name="TableStyleMedium9 2" showFirstColumn="1" showLastColumn="0" showRowStripes="0" showColumnStripes="1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EE75E3-0B1A-4A2B-B3A1-23137DF67126}" name="Tab_LeiV_MW" displayName="Tab_LeiV_MW" ref="A15:H24" totalsRowShown="0">
  <autoFilter ref="A15:H24" xr:uid="{CBEE75E3-0B1A-4A2B-B3A1-23137DF67126}"/>
  <tableColumns count="8">
    <tableColumn id="1" xr3:uid="{7E1C9E2B-37E4-4B70-AABE-6B7D22AE5E21}" name=" "/>
    <tableColumn id="8" xr3:uid="{D5039976-C49A-422A-AC77-560262109CEB}" name="  "/>
    <tableColumn id="2" xr3:uid="{3C92EE84-08AF-425D-A653-34A1EFF9E0D8}" name="D" dataDxfId="75">
      <calculatedColumnFormula>AVERAGE(C4:D4)</calculatedColumnFormula>
    </tableColumn>
    <tableColumn id="3" xr3:uid="{CEE1AF3C-1251-4FD0-9D58-A251DB004ED3}" name="C" dataDxfId="74">
      <calculatedColumnFormula>AVERAGE(E4:F4)</calculatedColumnFormula>
    </tableColumn>
    <tableColumn id="4" xr3:uid="{EE40A5BC-A057-4A25-BA0B-BB0E30B3DA93}" name="B3" dataDxfId="73">
      <calculatedColumnFormula>AVERAGE(G4:H4)</calculatedColumnFormula>
    </tableColumn>
    <tableColumn id="5" xr3:uid="{AC95DD4E-CE6C-4920-99E9-3F9C4BB84EB8}" name="B2" dataDxfId="72">
      <calculatedColumnFormula>AVERAGE(I4:J4)</calculatedColumnFormula>
    </tableColumn>
    <tableColumn id="6" xr3:uid="{A50BDDDD-1224-45B4-B1CD-4506881EE666}" name="B1" dataDxfId="71">
      <calculatedColumnFormula>AVERAGE(K4:L4)</calculatedColumnFormula>
    </tableColumn>
    <tableColumn id="7" xr3:uid="{9C63BCB9-50AB-4A54-9D42-2C56EBBDDD12}" name="A" dataDxfId="70">
      <calculatedColumnFormula>AVERAGE(M4:N4)</calculatedColumnFormula>
    </tableColumn>
  </tableColumns>
  <tableStyleInfo name="TableStyleMedium9 2" showFirstColumn="1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ontrol" Target="../activeX/activeX5.xml"/><Relationship Id="rId18" Type="http://schemas.openxmlformats.org/officeDocument/2006/relationships/image" Target="../media/image7.emf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12" Type="http://schemas.openxmlformats.org/officeDocument/2006/relationships/image" Target="../media/image4.emf"/><Relationship Id="rId17" Type="http://schemas.openxmlformats.org/officeDocument/2006/relationships/control" Target="../activeX/activeX7.xml"/><Relationship Id="rId2" Type="http://schemas.openxmlformats.org/officeDocument/2006/relationships/printerSettings" Target="../printerSettings/printerSettings1.bin"/><Relationship Id="rId16" Type="http://schemas.openxmlformats.org/officeDocument/2006/relationships/image" Target="../media/image6.emf"/><Relationship Id="rId1" Type="http://schemas.openxmlformats.org/officeDocument/2006/relationships/hyperlink" Target="../../../../../../Desktop/ebmpapst.igmetallsha.de/ebm_admin" TargetMode="External"/><Relationship Id="rId6" Type="http://schemas.openxmlformats.org/officeDocument/2006/relationships/image" Target="../media/image1.emf"/><Relationship Id="rId11" Type="http://schemas.openxmlformats.org/officeDocument/2006/relationships/control" Target="../activeX/activeX4.xml"/><Relationship Id="rId5" Type="http://schemas.openxmlformats.org/officeDocument/2006/relationships/control" Target="../activeX/activeX1.xml"/><Relationship Id="rId15" Type="http://schemas.openxmlformats.org/officeDocument/2006/relationships/control" Target="../activeX/activeX6.xml"/><Relationship Id="rId10" Type="http://schemas.openxmlformats.org/officeDocument/2006/relationships/image" Target="../media/image3.emf"/><Relationship Id="rId19" Type="http://schemas.openxmlformats.org/officeDocument/2006/relationships/table" Target="../tables/table1.xml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3.xml"/><Relationship Id="rId14" Type="http://schemas.openxmlformats.org/officeDocument/2006/relationships/image" Target="../media/image5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../../../../../../../AppData/Local/Microsoft/Windows/INetCache/Content.Outlook/CF7X142W/Arbeitsplatzbeschreibungen%20LeiV%20Phase%20II_Intranet_ab01032023.pdf" TargetMode="External"/><Relationship Id="rId1" Type="http://schemas.openxmlformats.org/officeDocument/2006/relationships/hyperlink" Target="../../../../../../../AppData/Local/Microsoft/Windows/INetCache/Content.Outlook/CF7X142W/ME_Industrie_ERA_Tarifvertrag_Niveaubeispiele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.xml"/><Relationship Id="rId3" Type="http://schemas.openxmlformats.org/officeDocument/2006/relationships/vmlDrawing" Target="../drawings/vmlDrawing2.vml"/><Relationship Id="rId7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2.xml"/><Relationship Id="rId5" Type="http://schemas.openxmlformats.org/officeDocument/2006/relationships/image" Target="../media/image8.emf"/><Relationship Id="rId4" Type="http://schemas.openxmlformats.org/officeDocument/2006/relationships/control" Target="../activeX/activeX8.xml"/><Relationship Id="rId9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1">
    <outlinePr summaryBelow="0" summaryRight="0"/>
  </sheetPr>
  <dimension ref="A1:R34"/>
  <sheetViews>
    <sheetView tabSelected="1" zoomScaleNormal="100" workbookViewId="0"/>
  </sheetViews>
  <sheetFormatPr baseColWidth="10" defaultColWidth="0" defaultRowHeight="14.4" zeroHeight="1" x14ac:dyDescent="0.3"/>
  <cols>
    <col min="1" max="1" width="61.21875" bestFit="1" customWidth="1"/>
    <col min="2" max="2" width="44.21875" style="8" customWidth="1"/>
    <col min="3" max="3" width="50.88671875" style="8" customWidth="1"/>
    <col min="4" max="4" width="25.44140625" style="8" hidden="1" customWidth="1"/>
    <col min="5" max="5" width="13.5546875" style="8" hidden="1" customWidth="1"/>
    <col min="6" max="6" width="4.77734375" hidden="1" customWidth="1"/>
    <col min="7" max="7" width="3.21875" hidden="1" customWidth="1"/>
    <col min="8" max="8" width="4.5546875" hidden="1" customWidth="1"/>
    <col min="9" max="9" width="2.44140625" hidden="1" customWidth="1"/>
    <col min="10" max="10" width="4.5546875" hidden="1" customWidth="1"/>
    <col min="11" max="11" width="10.44140625" hidden="1" customWidth="1"/>
    <col min="12" max="12" width="5.5546875" hidden="1" customWidth="1"/>
    <col min="13" max="13" width="4.5546875" hidden="1" customWidth="1"/>
    <col min="14" max="18" width="0" hidden="1" customWidth="1"/>
    <col min="19" max="16384" width="11.44140625" hidden="1"/>
  </cols>
  <sheetData>
    <row r="1" spans="1:14" ht="21" x14ac:dyDescent="0.4">
      <c r="A1" s="54" t="s">
        <v>144</v>
      </c>
      <c r="B1" s="55" t="s">
        <v>34</v>
      </c>
      <c r="C1" s="46"/>
      <c r="D1" s="56"/>
      <c r="E1" s="56"/>
    </row>
    <row r="2" spans="1:14" ht="21" x14ac:dyDescent="0.4">
      <c r="A2" s="46"/>
      <c r="B2" s="109">
        <f>VLOOKUP(B1,G4:H9,2,FALSE)</f>
        <v>0.1</v>
      </c>
      <c r="C2" s="110"/>
      <c r="D2" s="110"/>
      <c r="E2" s="47"/>
    </row>
    <row r="3" spans="1:14" ht="31.2" x14ac:dyDescent="0.3">
      <c r="A3" s="28" t="s">
        <v>0</v>
      </c>
      <c r="B3" s="29" t="s">
        <v>146</v>
      </c>
      <c r="C3" t="s">
        <v>193</v>
      </c>
      <c r="D3" s="30" t="s">
        <v>53</v>
      </c>
      <c r="E3" s="71"/>
      <c r="F3" s="104"/>
      <c r="G3" s="104"/>
      <c r="H3" s="104"/>
      <c r="I3" s="104"/>
      <c r="J3" s="104"/>
      <c r="K3" s="104" t="s">
        <v>206</v>
      </c>
      <c r="L3" s="30" t="s">
        <v>213</v>
      </c>
      <c r="M3" s="30" t="s">
        <v>212</v>
      </c>
      <c r="N3" s="104"/>
    </row>
    <row r="4" spans="1:14" ht="15.6" x14ac:dyDescent="0.3">
      <c r="A4" s="11" t="s">
        <v>104</v>
      </c>
      <c r="B4" s="31">
        <v>37</v>
      </c>
      <c r="C4" s="32">
        <v>37</v>
      </c>
      <c r="D4" s="32">
        <v>37</v>
      </c>
      <c r="E4" s="56"/>
      <c r="F4" s="104" t="s">
        <v>171</v>
      </c>
      <c r="G4" s="104" t="s">
        <v>36</v>
      </c>
      <c r="H4" s="30">
        <v>0.2</v>
      </c>
      <c r="I4" s="30" t="s">
        <v>178</v>
      </c>
      <c r="J4" s="107" t="s">
        <v>68</v>
      </c>
      <c r="K4" s="104" t="s">
        <v>207</v>
      </c>
      <c r="L4" s="30">
        <v>0.3</v>
      </c>
      <c r="M4" s="30">
        <v>0.3</v>
      </c>
      <c r="N4" s="108">
        <v>0</v>
      </c>
    </row>
    <row r="5" spans="1:14" ht="15.6" x14ac:dyDescent="0.3">
      <c r="A5" s="11" t="s">
        <v>1</v>
      </c>
      <c r="B5" s="33">
        <f>VLOOKUP(LEFT(B3,4),Tab_LeiV[],5,FALSE)+VLOOKUP(LEFT(B3,4),Tab_LeiV[],5,FALSE)*(VLOOKUP(B1,G4:H9,2,FALSE)+2.5%)</f>
        <v>3042</v>
      </c>
      <c r="C5" s="34">
        <f>VLOOKUP(LEFT(C3,FIND("-",C3,1)-2),Tab_ERA37[[ERA-
Entgeltgruppe]:[Grundentgelt]],3,FALSE)</f>
        <v>3047.1426446280989</v>
      </c>
      <c r="D5" s="34">
        <f>D10/(1+Tab_Vergleich[[#Headers],[15%]])</f>
        <v>3047.1426446280993</v>
      </c>
      <c r="E5" s="72"/>
      <c r="F5" s="104" t="s">
        <v>147</v>
      </c>
      <c r="G5" s="104" t="s">
        <v>35</v>
      </c>
      <c r="H5" s="30">
        <v>0.15</v>
      </c>
      <c r="I5" s="30" t="s">
        <v>179</v>
      </c>
      <c r="J5" s="107" t="s">
        <v>67</v>
      </c>
      <c r="K5" s="104" t="s">
        <v>202</v>
      </c>
      <c r="L5" s="30">
        <v>0.45</v>
      </c>
      <c r="M5" s="30">
        <v>0.4</v>
      </c>
      <c r="N5" s="108">
        <v>0</v>
      </c>
    </row>
    <row r="6" spans="1:14" ht="15.6" x14ac:dyDescent="0.3">
      <c r="A6" s="11" t="s">
        <v>103</v>
      </c>
      <c r="B6" s="31">
        <v>160.94999999999999</v>
      </c>
      <c r="C6" s="32">
        <v>160.94999999999999</v>
      </c>
      <c r="D6" s="32">
        <v>160.94999999999999</v>
      </c>
      <c r="E6" s="56"/>
      <c r="F6" s="104" t="s">
        <v>176</v>
      </c>
      <c r="G6" s="104" t="s">
        <v>34</v>
      </c>
      <c r="H6" s="30">
        <v>0.1</v>
      </c>
      <c r="I6" s="30" t="s">
        <v>180</v>
      </c>
      <c r="J6" s="107" t="s">
        <v>66</v>
      </c>
      <c r="K6" s="104" t="s">
        <v>203</v>
      </c>
      <c r="L6" s="30">
        <v>0.55000000000000004</v>
      </c>
      <c r="M6" s="30">
        <v>0.5</v>
      </c>
      <c r="N6" s="108">
        <v>0</v>
      </c>
    </row>
    <row r="7" spans="1:14" ht="15.6" x14ac:dyDescent="0.3">
      <c r="A7" s="11" t="s">
        <v>139</v>
      </c>
      <c r="B7" s="33">
        <f>0</f>
        <v>0</v>
      </c>
      <c r="C7" s="34">
        <f>C5*$D3</f>
        <v>457.0713966942148</v>
      </c>
      <c r="D7" s="34">
        <f>D5*$D3</f>
        <v>457.07139669421491</v>
      </c>
      <c r="E7" s="72"/>
      <c r="F7" s="104" t="s">
        <v>177</v>
      </c>
      <c r="G7" s="104" t="s">
        <v>33</v>
      </c>
      <c r="H7" s="30">
        <v>0.05</v>
      </c>
      <c r="I7" s="30" t="s">
        <v>181</v>
      </c>
      <c r="J7" s="107" t="s">
        <v>65</v>
      </c>
      <c r="K7" s="104" t="s">
        <v>204</v>
      </c>
      <c r="L7" s="30">
        <v>0.65</v>
      </c>
      <c r="M7" s="30">
        <v>0.6</v>
      </c>
      <c r="N7" s="108">
        <v>0</v>
      </c>
    </row>
    <row r="8" spans="1:14" ht="15.6" x14ac:dyDescent="0.3">
      <c r="A8" s="11" t="s">
        <v>3</v>
      </c>
      <c r="B8" s="33">
        <f>(B10-B9)/B6</f>
        <v>18.900279589934765</v>
      </c>
      <c r="C8" s="34">
        <f>C10/C6</f>
        <v>21.772066115702479</v>
      </c>
      <c r="D8" s="34">
        <f>Tab_Vergleich[[#This Row],[EG 4 - Werker / Logistiker]]</f>
        <v>21.772066115702479</v>
      </c>
      <c r="E8" s="72"/>
      <c r="F8" s="104" t="s">
        <v>175</v>
      </c>
      <c r="G8" s="104" t="s">
        <v>32</v>
      </c>
      <c r="H8" s="30">
        <v>0</v>
      </c>
      <c r="I8" s="30" t="s">
        <v>182</v>
      </c>
      <c r="J8" s="107" t="s">
        <v>64</v>
      </c>
      <c r="K8" s="104" t="s">
        <v>205</v>
      </c>
      <c r="L8" s="30">
        <v>0.75</v>
      </c>
      <c r="M8" s="30">
        <v>0.6</v>
      </c>
      <c r="N8" s="108">
        <v>0</v>
      </c>
    </row>
    <row r="9" spans="1:14" ht="15.6" x14ac:dyDescent="0.3">
      <c r="A9" s="11" t="s">
        <v>143</v>
      </c>
      <c r="B9" s="33">
        <v>34</v>
      </c>
      <c r="C9" s="34">
        <v>0</v>
      </c>
      <c r="D9" s="106">
        <v>0</v>
      </c>
      <c r="E9" s="73"/>
      <c r="F9" s="104" t="s">
        <v>148</v>
      </c>
      <c r="G9" s="104" t="s">
        <v>31</v>
      </c>
      <c r="H9" s="30">
        <v>-0.05</v>
      </c>
      <c r="I9" s="30" t="s">
        <v>183</v>
      </c>
      <c r="J9" s="107" t="s">
        <v>63</v>
      </c>
      <c r="K9" s="104" t="s">
        <v>206</v>
      </c>
      <c r="L9" s="30">
        <v>1</v>
      </c>
      <c r="M9" s="30">
        <v>0.6</v>
      </c>
      <c r="N9" s="108">
        <v>34</v>
      </c>
    </row>
    <row r="10" spans="1:14" ht="15.6" x14ac:dyDescent="0.3">
      <c r="A10" s="35" t="s">
        <v>2</v>
      </c>
      <c r="B10" s="36">
        <f>B5+B7+B9</f>
        <v>3076</v>
      </c>
      <c r="C10" s="99">
        <f>C5+C7</f>
        <v>3504.2140413223137</v>
      </c>
      <c r="D10" s="42">
        <f>D6*D8</f>
        <v>3504.2140413223137</v>
      </c>
      <c r="E10" s="72"/>
      <c r="F10" s="104" t="s">
        <v>199</v>
      </c>
      <c r="G10" s="104"/>
      <c r="H10" s="104"/>
      <c r="I10" s="30" t="s">
        <v>198</v>
      </c>
      <c r="J10" s="107" t="s">
        <v>62</v>
      </c>
      <c r="K10" s="104" t="s">
        <v>209</v>
      </c>
      <c r="L10" s="30">
        <v>1</v>
      </c>
      <c r="M10" s="30">
        <v>0.6</v>
      </c>
      <c r="N10" s="108">
        <v>51</v>
      </c>
    </row>
    <row r="11" spans="1:14" ht="15.6" x14ac:dyDescent="0.3">
      <c r="A11" s="37" t="s">
        <v>208</v>
      </c>
      <c r="B11" s="38">
        <f>B10*L3</f>
        <v>3076</v>
      </c>
      <c r="C11" s="39">
        <f>C10*M3</f>
        <v>2102.5284247933882</v>
      </c>
      <c r="D11" s="39">
        <f>D10*M3</f>
        <v>2102.5284247933882</v>
      </c>
      <c r="E11" s="72"/>
      <c r="F11" s="104" t="s">
        <v>169</v>
      </c>
      <c r="G11" s="104"/>
      <c r="H11" s="104"/>
      <c r="I11" s="30" t="s">
        <v>197</v>
      </c>
      <c r="J11" s="107" t="s">
        <v>61</v>
      </c>
      <c r="K11" s="104" t="s">
        <v>210</v>
      </c>
      <c r="L11" s="30">
        <v>1</v>
      </c>
      <c r="M11" s="30">
        <v>0.6</v>
      </c>
      <c r="N11" s="108">
        <v>67</v>
      </c>
    </row>
    <row r="12" spans="1:14" ht="15.6" x14ac:dyDescent="0.3">
      <c r="A12" s="11" t="s">
        <v>114</v>
      </c>
      <c r="B12" s="33">
        <f>B10*0.7</f>
        <v>2153.1999999999998</v>
      </c>
      <c r="C12" s="34">
        <f>C10*0.7</f>
        <v>2452.9498289256194</v>
      </c>
      <c r="D12" s="34">
        <f>D10*0.7</f>
        <v>2452.9498289256194</v>
      </c>
      <c r="E12" s="72"/>
      <c r="F12" s="104" t="s">
        <v>200</v>
      </c>
      <c r="G12" s="104"/>
      <c r="H12" s="104"/>
      <c r="I12" s="30" t="s">
        <v>196</v>
      </c>
      <c r="J12" s="107" t="s">
        <v>60</v>
      </c>
      <c r="K12" s="104" t="s">
        <v>211</v>
      </c>
      <c r="L12" s="30">
        <v>1</v>
      </c>
      <c r="M12" s="30">
        <v>0.6</v>
      </c>
      <c r="N12" s="108">
        <v>103</v>
      </c>
    </row>
    <row r="13" spans="1:14" ht="15.6" x14ac:dyDescent="0.3">
      <c r="A13" s="11" t="s">
        <v>140</v>
      </c>
      <c r="B13" s="33">
        <v>0</v>
      </c>
      <c r="C13" s="34">
        <f>C10*0.275</f>
        <v>963.65886136363633</v>
      </c>
      <c r="D13" s="34">
        <f>D10*0.275</f>
        <v>963.65886136363633</v>
      </c>
      <c r="E13" s="72"/>
      <c r="F13" s="104" t="s">
        <v>170</v>
      </c>
      <c r="G13" s="104"/>
      <c r="H13" s="104"/>
      <c r="I13" s="30" t="s">
        <v>194</v>
      </c>
      <c r="J13" s="107" t="s">
        <v>59</v>
      </c>
      <c r="K13" s="104"/>
      <c r="L13" s="104"/>
      <c r="M13" s="104"/>
      <c r="N13" s="104"/>
    </row>
    <row r="14" spans="1:14" ht="15.6" x14ac:dyDescent="0.3">
      <c r="A14" s="11" t="s">
        <v>141</v>
      </c>
      <c r="B14" s="33">
        <v>0</v>
      </c>
      <c r="C14" s="34">
        <f>'ERA-Entgelttabelle'!$C$10*0.185</f>
        <v>630.66499999999996</v>
      </c>
      <c r="D14" s="34">
        <f>('ERA-Entgelttabelle'!$C$10*0.185)/151.25*160.95</f>
        <v>671.11095371900819</v>
      </c>
      <c r="E14" s="72"/>
      <c r="F14" s="104" t="s">
        <v>201</v>
      </c>
      <c r="G14" s="104"/>
      <c r="H14" s="104"/>
      <c r="I14" s="30" t="s">
        <v>184</v>
      </c>
      <c r="J14" s="107" t="s">
        <v>58</v>
      </c>
      <c r="K14" s="104"/>
      <c r="L14" s="104"/>
      <c r="M14" s="104"/>
      <c r="N14" s="104"/>
    </row>
    <row r="15" spans="1:14" ht="15.6" x14ac:dyDescent="0.3">
      <c r="A15" s="11" t="s">
        <v>142</v>
      </c>
      <c r="B15" s="33">
        <v>0</v>
      </c>
      <c r="C15" s="34">
        <f>C10*0.184</f>
        <v>644.77538360330573</v>
      </c>
      <c r="D15" s="100">
        <f>D10*0.184</f>
        <v>644.77538360330573</v>
      </c>
      <c r="E15" s="74"/>
      <c r="F15" s="104" t="s">
        <v>187</v>
      </c>
      <c r="G15" s="104"/>
      <c r="H15" s="104"/>
      <c r="I15" s="30" t="s">
        <v>191</v>
      </c>
      <c r="J15" s="107" t="s">
        <v>57</v>
      </c>
      <c r="K15" s="104"/>
      <c r="L15" s="104"/>
      <c r="M15" s="104"/>
      <c r="N15" s="104"/>
    </row>
    <row r="16" spans="1:14" ht="15.6" x14ac:dyDescent="0.3">
      <c r="A16" s="37" t="s">
        <v>4</v>
      </c>
      <c r="B16" s="40">
        <f>SUM(B11:B15)</f>
        <v>5229.2</v>
      </c>
      <c r="C16" s="101">
        <f>SUM(C11:C15)</f>
        <v>6794.5774986859487</v>
      </c>
      <c r="D16" s="42">
        <f>SUM(D11:D15)</f>
        <v>6835.0234524049574</v>
      </c>
      <c r="E16" s="73"/>
      <c r="F16" s="104" t="s">
        <v>174</v>
      </c>
      <c r="G16" s="104"/>
      <c r="H16" s="104"/>
      <c r="I16" s="30" t="s">
        <v>195</v>
      </c>
      <c r="J16" s="107" t="s">
        <v>56</v>
      </c>
      <c r="K16" s="104"/>
      <c r="L16" s="104"/>
      <c r="M16" s="104"/>
      <c r="N16" s="104"/>
    </row>
    <row r="17" spans="1:14" ht="15.6" x14ac:dyDescent="0.3">
      <c r="A17" s="11" t="s">
        <v>5</v>
      </c>
      <c r="B17" s="41">
        <f>B10*12</f>
        <v>36912</v>
      </c>
      <c r="C17" s="42">
        <f>C10*12</f>
        <v>42050.568495867767</v>
      </c>
      <c r="D17" s="42">
        <f>D10*12</f>
        <v>42050.568495867767</v>
      </c>
      <c r="E17" s="73"/>
      <c r="F17" s="104" t="s">
        <v>173</v>
      </c>
      <c r="G17" s="104"/>
      <c r="H17" s="104"/>
      <c r="I17" s="30" t="s">
        <v>193</v>
      </c>
      <c r="J17" s="107" t="s">
        <v>55</v>
      </c>
      <c r="K17" s="104"/>
      <c r="L17" s="104"/>
      <c r="M17" s="104"/>
      <c r="N17" s="104"/>
    </row>
    <row r="18" spans="1:14" ht="15.6" x14ac:dyDescent="0.3">
      <c r="A18" s="11" t="s">
        <v>6</v>
      </c>
      <c r="B18" s="41">
        <f>B16+B17</f>
        <v>42141.2</v>
      </c>
      <c r="C18" s="42">
        <f>C16+C17</f>
        <v>48845.145994553714</v>
      </c>
      <c r="D18" s="42">
        <f>D16+D17</f>
        <v>48885.591948272726</v>
      </c>
      <c r="E18" s="73"/>
      <c r="F18" s="104" t="s">
        <v>172</v>
      </c>
      <c r="G18" s="104"/>
      <c r="H18" s="104"/>
      <c r="I18" s="30" t="s">
        <v>192</v>
      </c>
      <c r="J18" s="107" t="s">
        <v>54</v>
      </c>
      <c r="K18" s="104"/>
      <c r="L18" s="104"/>
      <c r="M18" s="104"/>
      <c r="N18" s="104"/>
    </row>
    <row r="19" spans="1:14" ht="15.6" hidden="1" x14ac:dyDescent="0.3">
      <c r="A19" s="11"/>
      <c r="B19" s="34"/>
      <c r="C19" s="34" t="b">
        <v>1</v>
      </c>
      <c r="D19" s="105"/>
      <c r="F19" t="s">
        <v>146</v>
      </c>
      <c r="I19" s="9" t="s">
        <v>185</v>
      </c>
      <c r="J19" s="70" t="s">
        <v>53</v>
      </c>
    </row>
    <row r="20" spans="1:14" ht="15.6" hidden="1" x14ac:dyDescent="0.3">
      <c r="A20" s="11"/>
      <c r="B20" s="34"/>
      <c r="C20" s="34" t="b">
        <v>0</v>
      </c>
      <c r="D20" s="105"/>
      <c r="I20" s="9" t="s">
        <v>186</v>
      </c>
      <c r="J20" s="70" t="s">
        <v>52</v>
      </c>
    </row>
    <row r="21" spans="1:14" hidden="1" x14ac:dyDescent="0.3">
      <c r="J21" s="70" t="s">
        <v>51</v>
      </c>
    </row>
    <row r="22" spans="1:14" hidden="1" x14ac:dyDescent="0.3">
      <c r="J22" s="70" t="s">
        <v>50</v>
      </c>
    </row>
    <row r="23" spans="1:14" hidden="1" x14ac:dyDescent="0.3">
      <c r="J23" s="70" t="s">
        <v>49</v>
      </c>
    </row>
    <row r="24" spans="1:14" hidden="1" x14ac:dyDescent="0.3">
      <c r="J24" s="70" t="s">
        <v>48</v>
      </c>
    </row>
    <row r="25" spans="1:14" hidden="1" x14ac:dyDescent="0.3">
      <c r="J25" s="70" t="s">
        <v>47</v>
      </c>
    </row>
    <row r="26" spans="1:14" hidden="1" x14ac:dyDescent="0.3">
      <c r="J26" s="70" t="s">
        <v>46</v>
      </c>
    </row>
    <row r="27" spans="1:14" hidden="1" x14ac:dyDescent="0.3">
      <c r="J27" s="70" t="s">
        <v>45</v>
      </c>
    </row>
    <row r="28" spans="1:14" hidden="1" x14ac:dyDescent="0.3">
      <c r="J28" s="70" t="s">
        <v>44</v>
      </c>
    </row>
    <row r="29" spans="1:14" hidden="1" x14ac:dyDescent="0.3">
      <c r="J29" s="70" t="s">
        <v>43</v>
      </c>
    </row>
    <row r="30" spans="1:14" hidden="1" x14ac:dyDescent="0.3">
      <c r="J30" s="70" t="s">
        <v>42</v>
      </c>
    </row>
    <row r="31" spans="1:14" hidden="1" x14ac:dyDescent="0.3">
      <c r="J31" s="70" t="s">
        <v>41</v>
      </c>
    </row>
    <row r="32" spans="1:14" hidden="1" x14ac:dyDescent="0.3">
      <c r="J32" s="70" t="s">
        <v>40</v>
      </c>
    </row>
    <row r="33" spans="10:10" hidden="1" x14ac:dyDescent="0.3">
      <c r="J33" s="70" t="s">
        <v>39</v>
      </c>
    </row>
    <row r="34" spans="10:10" hidden="1" x14ac:dyDescent="0.3">
      <c r="J34" s="70" t="s">
        <v>165</v>
      </c>
    </row>
  </sheetData>
  <sortState xmlns:xlrd2="http://schemas.microsoft.com/office/spreadsheetml/2017/richdata2" ref="G4:G9">
    <sortCondition ref="G4:G9"/>
  </sortState>
  <mergeCells count="1">
    <mergeCell ref="C2:D2"/>
  </mergeCells>
  <phoneticPr fontId="7" type="noConversion"/>
  <hyperlinks>
    <hyperlink ref="B2" r:id="rId1" display="ebmpapst.igmetallsha.de/ebm_admin" xr:uid="{F1C35A90-6167-496D-BA6D-4BAE7E2D1239}"/>
  </hyperlinks>
  <pageMargins left="0.7" right="0.7" top="0.78740157499999996" bottom="0.78740157499999996" header="0.3" footer="0.3"/>
  <pageSetup paperSize="9" orientation="portrait" r:id="rId2"/>
  <drawing r:id="rId3"/>
  <legacyDrawing r:id="rId4"/>
  <controls>
    <mc:AlternateContent xmlns:mc="http://schemas.openxmlformats.org/markup-compatibility/2006">
      <mc:Choice Requires="x14">
        <control shapeId="11274" r:id="rId5" name="TBox_BeZu_ERA">
          <controlPr locked="0" defaultSize="0" autoLine="0" linkedCell="M3" r:id="rId6">
            <anchor moveWithCells="1">
              <from>
                <xdr:col>0</xdr:col>
                <xdr:colOff>2933700</xdr:colOff>
                <xdr:row>10</xdr:row>
                <xdr:rowOff>0</xdr:rowOff>
              </from>
              <to>
                <xdr:col>0</xdr:col>
                <xdr:colOff>3436620</xdr:colOff>
                <xdr:row>11</xdr:row>
                <xdr:rowOff>7620</xdr:rowOff>
              </to>
            </anchor>
          </controlPr>
        </control>
      </mc:Choice>
      <mc:Fallback>
        <control shapeId="11274" r:id="rId5" name="TBox_BeZu_ERA"/>
      </mc:Fallback>
    </mc:AlternateContent>
    <mc:AlternateContent xmlns:mc="http://schemas.openxmlformats.org/markup-compatibility/2006">
      <mc:Choice Requires="x14">
        <control shapeId="11273" r:id="rId7" name="TBox_BeZu_ebm">
          <controlPr locked="0" defaultSize="0" autoLine="0" linkedCell="L3" r:id="rId8">
            <anchor moveWithCells="1">
              <from>
                <xdr:col>0</xdr:col>
                <xdr:colOff>2438400</xdr:colOff>
                <xdr:row>10</xdr:row>
                <xdr:rowOff>0</xdr:rowOff>
              </from>
              <to>
                <xdr:col>0</xdr:col>
                <xdr:colOff>2941320</xdr:colOff>
                <xdr:row>11</xdr:row>
                <xdr:rowOff>7620</xdr:rowOff>
              </to>
            </anchor>
          </controlPr>
        </control>
      </mc:Choice>
      <mc:Fallback>
        <control shapeId="11273" r:id="rId7" name="TBox_BeZu_ebm"/>
      </mc:Fallback>
    </mc:AlternateContent>
    <mc:AlternateContent xmlns:mc="http://schemas.openxmlformats.org/markup-compatibility/2006">
      <mc:Choice Requires="x14">
        <control shapeId="11272" r:id="rId9" name="CBox_BeZu">
          <controlPr locked="0" defaultSize="0" autoLine="0" linkedCell="K3" listFillRange="K4:K12" r:id="rId10">
            <anchor moveWithCells="1">
              <from>
                <xdr:col>0</xdr:col>
                <xdr:colOff>1310640</xdr:colOff>
                <xdr:row>10</xdr:row>
                <xdr:rowOff>0</xdr:rowOff>
              </from>
              <to>
                <xdr:col>0</xdr:col>
                <xdr:colOff>2270760</xdr:colOff>
                <xdr:row>11</xdr:row>
                <xdr:rowOff>7620</xdr:rowOff>
              </to>
            </anchor>
          </controlPr>
        </control>
      </mc:Choice>
      <mc:Fallback>
        <control shapeId="11272" r:id="rId9" name="CBox_BeZu"/>
      </mc:Fallback>
    </mc:AlternateContent>
    <mc:AlternateContent xmlns:mc="http://schemas.openxmlformats.org/markup-compatibility/2006">
      <mc:Choice Requires="x14">
        <control shapeId="11268" r:id="rId11" name="CBox_LeiVLeist">
          <controlPr locked="0" defaultSize="0" autoLine="0" linkedCell="B1" listFillRange="G4:G9" r:id="rId12">
            <anchor moveWithCells="1">
              <from>
                <xdr:col>0</xdr:col>
                <xdr:colOff>3002280</xdr:colOff>
                <xdr:row>6</xdr:row>
                <xdr:rowOff>15240</xdr:rowOff>
              </from>
              <to>
                <xdr:col>0</xdr:col>
                <xdr:colOff>3459480</xdr:colOff>
                <xdr:row>7</xdr:row>
                <xdr:rowOff>22860</xdr:rowOff>
              </to>
            </anchor>
          </controlPr>
        </control>
      </mc:Choice>
      <mc:Fallback>
        <control shapeId="11268" r:id="rId11" name="CBox_LeiVLeist"/>
      </mc:Fallback>
    </mc:AlternateContent>
    <mc:AlternateContent xmlns:mc="http://schemas.openxmlformats.org/markup-compatibility/2006">
      <mc:Choice Requires="x14">
        <control shapeId="11267" r:id="rId13" name="CBox_LeiV">
          <controlPr locked="0" defaultSize="0" autoLine="0" autoPict="0" linkedCell="B3" listFillRange="F4:F19" r:id="rId14">
            <anchor moveWithCells="1">
              <from>
                <xdr:col>1</xdr:col>
                <xdr:colOff>15240</xdr:colOff>
                <xdr:row>2</xdr:row>
                <xdr:rowOff>0</xdr:rowOff>
              </from>
              <to>
                <xdr:col>2</xdr:col>
                <xdr:colOff>15240</xdr:colOff>
                <xdr:row>3</xdr:row>
                <xdr:rowOff>0</xdr:rowOff>
              </to>
            </anchor>
          </controlPr>
        </control>
      </mc:Choice>
      <mc:Fallback>
        <control shapeId="11267" r:id="rId13" name="CBox_LeiV"/>
      </mc:Fallback>
    </mc:AlternateContent>
    <mc:AlternateContent xmlns:mc="http://schemas.openxmlformats.org/markup-compatibility/2006">
      <mc:Choice Requires="x14">
        <control shapeId="11266" r:id="rId15" name="CBox_TarifLeist">
          <controlPr locked="0" defaultSize="0" autoLine="0" linkedCell="D3" listFillRange="J4:J34" r:id="rId16">
            <anchor moveWithCells="1">
              <from>
                <xdr:col>0</xdr:col>
                <xdr:colOff>3482340</xdr:colOff>
                <xdr:row>6</xdr:row>
                <xdr:rowOff>15240</xdr:rowOff>
              </from>
              <to>
                <xdr:col>0</xdr:col>
                <xdr:colOff>4053840</xdr:colOff>
                <xdr:row>7</xdr:row>
                <xdr:rowOff>22860</xdr:rowOff>
              </to>
            </anchor>
          </controlPr>
        </control>
      </mc:Choice>
      <mc:Fallback>
        <control shapeId="11266" r:id="rId15" name="CBox_TarifLeist"/>
      </mc:Fallback>
    </mc:AlternateContent>
    <mc:AlternateContent xmlns:mc="http://schemas.openxmlformats.org/markup-compatibility/2006">
      <mc:Choice Requires="x14">
        <control shapeId="11265" r:id="rId17" name="CBox_Tarif">
          <controlPr locked="0" defaultSize="0" autoLine="0" autoPict="0" linkedCell="C3" listFillRange="I4:I19" r:id="rId18">
            <anchor moveWithCells="1">
              <from>
                <xdr:col>2</xdr:col>
                <xdr:colOff>15240</xdr:colOff>
                <xdr:row>2</xdr:row>
                <xdr:rowOff>0</xdr:rowOff>
              </from>
              <to>
                <xdr:col>2</xdr:col>
                <xdr:colOff>3482340</xdr:colOff>
                <xdr:row>3</xdr:row>
                <xdr:rowOff>15240</xdr:rowOff>
              </to>
            </anchor>
          </controlPr>
        </control>
      </mc:Choice>
      <mc:Fallback>
        <control shapeId="11265" r:id="rId17" name="CBox_Tarif"/>
      </mc:Fallback>
    </mc:AlternateContent>
  </controls>
  <tableParts count="1">
    <tablePart r:id="rId1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3E564-E66B-48BF-8E87-1663978A5FCB}">
  <sheetPr codeName="Tabelle1"/>
  <dimension ref="A4:N20"/>
  <sheetViews>
    <sheetView workbookViewId="0"/>
  </sheetViews>
  <sheetFormatPr baseColWidth="10" defaultRowHeight="14.4" x14ac:dyDescent="0.3"/>
  <cols>
    <col min="10" max="19" width="0" hidden="1" customWidth="1"/>
  </cols>
  <sheetData>
    <row r="4" spans="1:14" ht="33.6" x14ac:dyDescent="0.65">
      <c r="E4" s="103" t="s">
        <v>190</v>
      </c>
      <c r="F4" s="103"/>
      <c r="G4" s="103"/>
      <c r="H4" s="103"/>
      <c r="I4" s="103"/>
      <c r="J4" s="103"/>
      <c r="K4" s="103"/>
      <c r="L4" s="103"/>
      <c r="M4" s="103"/>
      <c r="N4" s="103"/>
    </row>
    <row r="10" spans="1:14" x14ac:dyDescent="0.3">
      <c r="A10" s="102" t="s">
        <v>188</v>
      </c>
    </row>
    <row r="11" spans="1:14" x14ac:dyDescent="0.3">
      <c r="A11" s="102" t="s">
        <v>189</v>
      </c>
    </row>
    <row r="20" spans="3:3" x14ac:dyDescent="0.3">
      <c r="C20" t="b">
        <v>0</v>
      </c>
    </row>
  </sheetData>
  <hyperlinks>
    <hyperlink ref="A10" r:id="rId1" xr:uid="{34F9BD95-7693-4091-9C66-91B2194EFAA3}"/>
    <hyperlink ref="A11" r:id="rId2" xr:uid="{603908DA-F229-46B0-AADD-02D1A0401C8C}"/>
  </hyperlinks>
  <pageMargins left="0.7" right="0.7" top="0.78740157499999996" bottom="0.78740157499999996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2">
    <outlinePr summaryBelow="0" summaryRight="0"/>
  </sheetPr>
  <dimension ref="A1:S35"/>
  <sheetViews>
    <sheetView zoomScaleNormal="100" workbookViewId="0"/>
  </sheetViews>
  <sheetFormatPr baseColWidth="10" defaultColWidth="0" defaultRowHeight="14.4" zeroHeight="1" x14ac:dyDescent="0.3"/>
  <cols>
    <col min="1" max="1" width="12.21875" bestFit="1" customWidth="1"/>
    <col min="2" max="2" width="15.21875" bestFit="1" customWidth="1"/>
    <col min="3" max="3" width="11" bestFit="1" customWidth="1"/>
    <col min="4" max="4" width="14.44140625" bestFit="1" customWidth="1"/>
    <col min="5" max="5" width="11" bestFit="1" customWidth="1"/>
    <col min="6" max="6" width="2.77734375" customWidth="1"/>
    <col min="7" max="9" width="13.21875" customWidth="1"/>
    <col min="10" max="10" width="2.77734375" hidden="1" customWidth="1"/>
    <col min="11" max="11" width="12.21875" hidden="1" customWidth="1"/>
    <col min="12" max="12" width="16.21875" hidden="1" customWidth="1"/>
    <col min="13" max="13" width="11" hidden="1" customWidth="1"/>
    <col min="14" max="14" width="14.44140625" hidden="1" customWidth="1"/>
    <col min="15" max="15" width="11" hidden="1" customWidth="1"/>
    <col min="16" max="16" width="2.77734375" hidden="1" customWidth="1"/>
    <col min="17" max="19" width="13.21875" hidden="1" customWidth="1"/>
    <col min="20" max="16384" width="11.44140625" hidden="1"/>
  </cols>
  <sheetData>
    <row r="1" spans="1:19" ht="21" x14ac:dyDescent="0.4">
      <c r="A1" s="50" t="s">
        <v>149</v>
      </c>
      <c r="B1" s="46" t="s">
        <v>146</v>
      </c>
      <c r="C1" s="46" t="s">
        <v>71</v>
      </c>
      <c r="D1" s="112" t="s">
        <v>162</v>
      </c>
      <c r="E1" s="112"/>
      <c r="F1" s="51"/>
      <c r="G1" s="51"/>
      <c r="H1" s="46"/>
      <c r="I1" s="46"/>
      <c r="J1" s="46"/>
      <c r="L1" s="46"/>
      <c r="M1" s="46"/>
      <c r="N1" s="46"/>
      <c r="O1" s="46"/>
      <c r="P1" s="46"/>
      <c r="Q1" s="46"/>
      <c r="R1" s="46"/>
      <c r="S1" s="46"/>
    </row>
    <row r="2" spans="1:19" ht="15.6" x14ac:dyDescent="0.3">
      <c r="A2" s="111" t="s">
        <v>29</v>
      </c>
      <c r="B2" s="111"/>
      <c r="C2" s="111"/>
      <c r="D2" s="111"/>
      <c r="E2" s="111"/>
      <c r="F2" s="75"/>
      <c r="G2" s="111" t="s">
        <v>168</v>
      </c>
      <c r="H2" s="111"/>
      <c r="I2" s="111"/>
      <c r="J2" s="46"/>
      <c r="K2" s="113" t="s">
        <v>29</v>
      </c>
      <c r="L2" s="113"/>
      <c r="M2" s="113"/>
      <c r="N2" s="113"/>
      <c r="O2" s="113"/>
      <c r="P2" s="46"/>
      <c r="Q2" s="113" t="s">
        <v>166</v>
      </c>
      <c r="R2" s="113"/>
      <c r="S2" s="113"/>
    </row>
    <row r="3" spans="1:19" x14ac:dyDescent="0.3">
      <c r="A3" s="76" t="s">
        <v>96</v>
      </c>
      <c r="B3" s="77" t="s">
        <v>16</v>
      </c>
      <c r="C3" s="77" t="s">
        <v>97</v>
      </c>
      <c r="D3" s="78" t="s">
        <v>30</v>
      </c>
      <c r="E3" s="78" t="s">
        <v>113</v>
      </c>
      <c r="F3" s="75"/>
      <c r="G3" s="79" t="s">
        <v>96</v>
      </c>
      <c r="H3" s="80" t="s">
        <v>164</v>
      </c>
      <c r="I3" s="81" t="s">
        <v>145</v>
      </c>
      <c r="J3" s="46"/>
      <c r="K3" s="16" t="s">
        <v>96</v>
      </c>
      <c r="L3" s="22" t="s">
        <v>16</v>
      </c>
      <c r="M3" s="22" t="s">
        <v>97</v>
      </c>
      <c r="N3" s="23" t="s">
        <v>30</v>
      </c>
      <c r="O3" s="23" t="s">
        <v>113</v>
      </c>
      <c r="P3" s="46"/>
      <c r="Q3" s="57" t="s">
        <v>96</v>
      </c>
      <c r="R3" s="58" t="s">
        <v>164</v>
      </c>
      <c r="S3" s="59" t="s">
        <v>145</v>
      </c>
    </row>
    <row r="4" spans="1:19" x14ac:dyDescent="0.3">
      <c r="A4" s="76" t="s">
        <v>17</v>
      </c>
      <c r="B4" s="82" t="s">
        <v>105</v>
      </c>
      <c r="C4" s="83">
        <v>0</v>
      </c>
      <c r="D4" s="84" t="s">
        <v>105</v>
      </c>
      <c r="E4" s="85">
        <v>0</v>
      </c>
      <c r="F4" s="75"/>
      <c r="G4" s="86" t="s">
        <v>17</v>
      </c>
      <c r="H4" s="87">
        <f>VLOOKUP(LEFT($B$1,4),Tab_LeiV_MW[[ ]:[B2]],6,FALSE)+Tab_SZ35[[#This Row],[  ]]</f>
        <v>3041.9949999999999</v>
      </c>
      <c r="I4" s="88">
        <f>VLOOKUP($C$1,Tab_ERA35[[ERA-
Entgeltgruppe]:[Grundentgelt]],3,FALSE)*1.15+Tab_SZ35[[#This Row],[   ]]</f>
        <v>3136.0499999999997</v>
      </c>
      <c r="J4" s="46"/>
      <c r="K4" s="16" t="s">
        <v>17</v>
      </c>
      <c r="L4" s="17" t="s">
        <v>105</v>
      </c>
      <c r="M4" s="18">
        <v>0</v>
      </c>
      <c r="N4" s="21" t="s">
        <v>105</v>
      </c>
      <c r="O4" s="20">
        <v>0</v>
      </c>
      <c r="P4" s="46"/>
      <c r="Q4" s="60" t="s">
        <v>17</v>
      </c>
      <c r="R4" s="61">
        <f>VLOOKUP(LEFT($B$1,4),Tab_LeiV_MW[[ ]:[B2]],6,FALSE)+Tab_SZ37[[#This Row],[  ]]</f>
        <v>3041.9949999999999</v>
      </c>
      <c r="S4" s="62">
        <f>VLOOKUP($C$1,Tab_ERA37[[ERA-
Entgeltgruppe]:[Grundentgelt]],3,FALSE)*1.15+Tab_SZ37[[#This Row],[   ]]</f>
        <v>3337.1718842975197</v>
      </c>
    </row>
    <row r="5" spans="1:19" x14ac:dyDescent="0.3">
      <c r="A5" s="76" t="s">
        <v>18</v>
      </c>
      <c r="B5" s="82" t="s">
        <v>105</v>
      </c>
      <c r="C5" s="83">
        <v>0</v>
      </c>
      <c r="D5" s="84" t="s">
        <v>108</v>
      </c>
      <c r="E5" s="89">
        <f>(VLOOKUP($C1,Tab_ERA35[[ERA-
Entgeltgruppe]:[Grundentgelt]],3,FALSE)*1.15)*0.184</f>
        <v>577.03319999999997</v>
      </c>
      <c r="F5" s="75"/>
      <c r="G5" s="90" t="s">
        <v>18</v>
      </c>
      <c r="H5" s="91">
        <f>VLOOKUP(LEFT($B$1,4),Tab_LeiV_MW[[ ]:[B2]],6,FALSE)+Tab_SZ35[[#This Row],[  ]]</f>
        <v>3041.9949999999999</v>
      </c>
      <c r="I5" s="92">
        <f>VLOOKUP($C$1,Tab_ERA35[[ERA-
Entgeltgruppe]:[Grundentgelt]],3,FALSE)*1.15+Tab_SZ35[[#This Row],[   ]]</f>
        <v>3713.0831999999996</v>
      </c>
      <c r="J5" s="46"/>
      <c r="K5" s="16" t="s">
        <v>18</v>
      </c>
      <c r="L5" s="17" t="s">
        <v>105</v>
      </c>
      <c r="M5" s="18">
        <v>0</v>
      </c>
      <c r="N5" s="21" t="s">
        <v>108</v>
      </c>
      <c r="O5" s="19">
        <f>((VLOOKUP($C1,Tab_ERA35[[ERA-
Entgeltgruppe]:[Grundentgelt]],3,FALSE)*1.15)*0.184)*160.95/151.25</f>
        <v>614.03962671074373</v>
      </c>
      <c r="P5" s="46"/>
      <c r="Q5" s="63" t="s">
        <v>18</v>
      </c>
      <c r="R5" s="64">
        <f>VLOOKUP(LEFT($B$1,4),Tab_LeiV_MW[[ ]:[B2]],6,FALSE)+Tab_SZ37[[#This Row],[  ]]</f>
        <v>3041.9949999999999</v>
      </c>
      <c r="S5" s="65">
        <f>VLOOKUP($C$1,Tab_ERA37[[ERA-
Entgeltgruppe]:[Grundentgelt]],3,FALSE)*1.15+Tab_SZ37[[#This Row],[   ]]</f>
        <v>3951.2115110082632</v>
      </c>
    </row>
    <row r="6" spans="1:19" x14ac:dyDescent="0.3">
      <c r="A6" s="76" t="s">
        <v>19</v>
      </c>
      <c r="B6" s="82" t="s">
        <v>105</v>
      </c>
      <c r="C6" s="83">
        <v>0</v>
      </c>
      <c r="D6" s="84" t="s">
        <v>105</v>
      </c>
      <c r="E6" s="89">
        <v>0</v>
      </c>
      <c r="F6" s="75"/>
      <c r="G6" s="93" t="s">
        <v>19</v>
      </c>
      <c r="H6" s="91">
        <f>VLOOKUP(LEFT($B$1,4),Tab_LeiV_MW[[ ]:[B2]],6,FALSE)+Tab_SZ35[[#This Row],[  ]]</f>
        <v>3041.9949999999999</v>
      </c>
      <c r="I6" s="92">
        <f>VLOOKUP($C$1,Tab_ERA35[[ERA-
Entgeltgruppe]:[Grundentgelt]],3,FALSE)*1.15+Tab_SZ35[[#This Row],[   ]]</f>
        <v>3136.0499999999997</v>
      </c>
      <c r="J6" s="46"/>
      <c r="K6" s="16" t="s">
        <v>19</v>
      </c>
      <c r="L6" s="17" t="s">
        <v>105</v>
      </c>
      <c r="M6" s="18">
        <v>0</v>
      </c>
      <c r="N6" s="21" t="s">
        <v>105</v>
      </c>
      <c r="O6" s="19">
        <v>0</v>
      </c>
      <c r="P6" s="46"/>
      <c r="Q6" s="66" t="s">
        <v>19</v>
      </c>
      <c r="R6" s="64">
        <f>VLOOKUP(LEFT($B$1,4),Tab_LeiV_MW[[ ]:[B2]],6,FALSE)+Tab_SZ37[[#This Row],[  ]]</f>
        <v>3041.9949999999999</v>
      </c>
      <c r="S6" s="65">
        <f>VLOOKUP($C$1,Tab_ERA37[[ERA-
Entgeltgruppe]:[Grundentgelt]],3,FALSE)*1.15+Tab_SZ37[[#This Row],[   ]]</f>
        <v>3337.1718842975197</v>
      </c>
    </row>
    <row r="7" spans="1:19" x14ac:dyDescent="0.3">
      <c r="A7" s="76" t="s">
        <v>20</v>
      </c>
      <c r="B7" s="82" t="s">
        <v>105</v>
      </c>
      <c r="C7" s="83">
        <v>0</v>
      </c>
      <c r="D7" s="84" t="s">
        <v>105</v>
      </c>
      <c r="E7" s="89">
        <v>0</v>
      </c>
      <c r="F7" s="75"/>
      <c r="G7" s="90" t="s">
        <v>20</v>
      </c>
      <c r="H7" s="91">
        <f>VLOOKUP(LEFT($B$1,4),Tab_LeiV_MW[[ ]:[B2]],6,FALSE)+Tab_SZ35[[#This Row],[  ]]</f>
        <v>3041.9949999999999</v>
      </c>
      <c r="I7" s="92">
        <f>VLOOKUP($C$1,Tab_ERA35[[ERA-
Entgeltgruppe]:[Grundentgelt]],3,FALSE)*1.15+Tab_SZ35[[#This Row],[   ]]</f>
        <v>3136.0499999999997</v>
      </c>
      <c r="J7" s="46"/>
      <c r="K7" s="16" t="s">
        <v>20</v>
      </c>
      <c r="L7" s="17" t="s">
        <v>105</v>
      </c>
      <c r="M7" s="18">
        <v>0</v>
      </c>
      <c r="N7" s="21" t="s">
        <v>105</v>
      </c>
      <c r="O7" s="19">
        <v>0</v>
      </c>
      <c r="P7" s="46"/>
      <c r="Q7" s="63" t="s">
        <v>20</v>
      </c>
      <c r="R7" s="64">
        <f>VLOOKUP(LEFT($B$1,4),Tab_LeiV_MW[[ ]:[B2]],6,FALSE)+Tab_SZ37[[#This Row],[  ]]</f>
        <v>3041.9949999999999</v>
      </c>
      <c r="S7" s="65">
        <f>VLOOKUP($C$1,Tab_ERA37[[ERA-
Entgeltgruppe]:[Grundentgelt]],3,FALSE)*1.15+Tab_SZ37[[#This Row],[   ]]</f>
        <v>3337.1718842975197</v>
      </c>
    </row>
    <row r="8" spans="1:19" x14ac:dyDescent="0.3">
      <c r="A8" s="76" t="s">
        <v>21</v>
      </c>
      <c r="B8" s="82" t="s">
        <v>105</v>
      </c>
      <c r="C8" s="83">
        <v>0</v>
      </c>
      <c r="D8" s="84" t="s">
        <v>105</v>
      </c>
      <c r="E8" s="89">
        <v>0</v>
      </c>
      <c r="F8" s="75"/>
      <c r="G8" s="93" t="s">
        <v>21</v>
      </c>
      <c r="H8" s="91">
        <f>VLOOKUP(LEFT($B$1,4),Tab_LeiV_MW[[ ]:[B2]],6,FALSE)+Tab_SZ35[[#This Row],[  ]]</f>
        <v>3041.9949999999999</v>
      </c>
      <c r="I8" s="92">
        <f>VLOOKUP($C$1,Tab_ERA35[[ERA-
Entgeltgruppe]:[Grundentgelt]],3,FALSE)*1.15+Tab_SZ35[[#This Row],[   ]]</f>
        <v>3136.0499999999997</v>
      </c>
      <c r="J8" s="46"/>
      <c r="K8" s="16" t="s">
        <v>21</v>
      </c>
      <c r="L8" s="17" t="s">
        <v>105</v>
      </c>
      <c r="M8" s="18">
        <v>0</v>
      </c>
      <c r="N8" s="21" t="s">
        <v>105</v>
      </c>
      <c r="O8" s="19">
        <v>0</v>
      </c>
      <c r="P8" s="46"/>
      <c r="Q8" s="66" t="s">
        <v>21</v>
      </c>
      <c r="R8" s="64">
        <f>VLOOKUP(LEFT($B$1,4),Tab_LeiV_MW[[ ]:[B2]],6,FALSE)+Tab_SZ37[[#This Row],[  ]]</f>
        <v>3041.9949999999999</v>
      </c>
      <c r="S8" s="65">
        <f>VLOOKUP($C$1,Tab_ERA37[[ERA-
Entgeltgruppe]:[Grundentgelt]],3,FALSE)*1.15+Tab_SZ37[[#This Row],[   ]]</f>
        <v>3337.1718842975197</v>
      </c>
    </row>
    <row r="9" spans="1:19" x14ac:dyDescent="0.3">
      <c r="A9" s="76" t="s">
        <v>22</v>
      </c>
      <c r="B9" s="82" t="s">
        <v>106</v>
      </c>
      <c r="C9" s="83">
        <f>VLOOKUP(LEFT($B$1,4),Tab_LeiV_MW[[ ]:[B2]],6,FALSE)*0.7</f>
        <v>2129.3964999999998</v>
      </c>
      <c r="D9" s="84" t="s">
        <v>109</v>
      </c>
      <c r="E9" s="89">
        <f>(VLOOKUP($C1,Tab_ERA35[[ERA-
Entgeltgruppe]:[Grundentgelt]],3,FALSE)*1.15)*0.7</f>
        <v>2195.2349999999997</v>
      </c>
      <c r="F9" s="75"/>
      <c r="G9" s="90" t="s">
        <v>22</v>
      </c>
      <c r="H9" s="91">
        <f>VLOOKUP(LEFT($B$1,4),Tab_LeiV_MW[[ ]:[B2]],6,FALSE)+Tab_SZ35[[#This Row],[  ]]</f>
        <v>5171.3914999999997</v>
      </c>
      <c r="I9" s="92">
        <f>VLOOKUP($C$1,Tab_ERA35[[ERA-
Entgeltgruppe]:[Grundentgelt]],3,FALSE)*1.15+Tab_SZ35[[#This Row],[   ]]</f>
        <v>5331.2849999999999</v>
      </c>
      <c r="J9" s="46"/>
      <c r="K9" s="16" t="s">
        <v>22</v>
      </c>
      <c r="L9" s="17" t="s">
        <v>106</v>
      </c>
      <c r="M9" s="18">
        <f>VLOOKUP(LEFT($B$1,4),Tab_LeiV_MW[[ ]:[B2]],6,FALSE)*0.7</f>
        <v>2129.3964999999998</v>
      </c>
      <c r="N9" s="21" t="s">
        <v>109</v>
      </c>
      <c r="O9" s="19">
        <f>((VLOOKUP($C1,Tab_ERA35[[ERA-
Entgeltgruppe]:[Grundentgelt]],3,FALSE)*1.15)*0.7)*160.95/151.25</f>
        <v>2336.0203190082639</v>
      </c>
      <c r="P9" s="46"/>
      <c r="Q9" s="63" t="s">
        <v>22</v>
      </c>
      <c r="R9" s="64">
        <f>VLOOKUP(LEFT($B$1,4),Tab_LeiV_MW[[ ]:[B2]],6,FALSE)+Tab_SZ37[[#This Row],[  ]]</f>
        <v>5171.3914999999997</v>
      </c>
      <c r="S9" s="65">
        <f>VLOOKUP($C$1,Tab_ERA37[[ERA-
Entgeltgruppe]:[Grundentgelt]],3,FALSE)*1.15+Tab_SZ37[[#This Row],[   ]]</f>
        <v>5673.1922033057836</v>
      </c>
    </row>
    <row r="10" spans="1:19" x14ac:dyDescent="0.3">
      <c r="A10" s="76" t="s">
        <v>23</v>
      </c>
      <c r="B10" s="82" t="s">
        <v>105</v>
      </c>
      <c r="C10" s="83">
        <v>0</v>
      </c>
      <c r="D10" s="84" t="s">
        <v>110</v>
      </c>
      <c r="E10" s="89">
        <f>(VLOOKUP($C1,Tab_ERA35[[ERA-
Entgeltgruppe]:[Grundentgelt]],3,FALSE)*1.15)*0.275</f>
        <v>862.41375000000005</v>
      </c>
      <c r="F10" s="75"/>
      <c r="G10" s="93" t="s">
        <v>23</v>
      </c>
      <c r="H10" s="91">
        <f>VLOOKUP(LEFT($B$1,4),Tab_LeiV_MW[[ ]:[B2]],6,FALSE)+Tab_SZ35[[#This Row],[  ]]</f>
        <v>3041.9949999999999</v>
      </c>
      <c r="I10" s="92">
        <f>VLOOKUP($C$1,Tab_ERA35[[ERA-
Entgeltgruppe]:[Grundentgelt]],3,FALSE)*1.15+Tab_SZ35[[#This Row],[   ]]</f>
        <v>3998.4637499999999</v>
      </c>
      <c r="J10" s="46"/>
      <c r="K10" s="16" t="s">
        <v>23</v>
      </c>
      <c r="L10" s="17" t="s">
        <v>105</v>
      </c>
      <c r="M10" s="18">
        <v>0</v>
      </c>
      <c r="N10" s="21" t="s">
        <v>110</v>
      </c>
      <c r="O10" s="19">
        <f>((VLOOKUP($C1,Tab_ERA35[[ERA-
Entgeltgruppe]:[Grundentgelt]],3,FALSE)*1.15)*0.275)*160.95/151.25</f>
        <v>917.72226818181821</v>
      </c>
      <c r="P10" s="46"/>
      <c r="Q10" s="66" t="s">
        <v>23</v>
      </c>
      <c r="R10" s="64">
        <f>VLOOKUP(LEFT($B$1,4),Tab_LeiV_MW[[ ]:[B2]],6,FALSE)+Tab_SZ37[[#This Row],[  ]]</f>
        <v>3041.9949999999999</v>
      </c>
      <c r="S10" s="65">
        <f>VLOOKUP($C$1,Tab_ERA37[[ERA-
Entgeltgruppe]:[Grundentgelt]],3,FALSE)*1.15+Tab_SZ37[[#This Row],[   ]]</f>
        <v>4254.8941524793381</v>
      </c>
    </row>
    <row r="11" spans="1:19" x14ac:dyDescent="0.3">
      <c r="A11" s="76" t="s">
        <v>24</v>
      </c>
      <c r="B11" s="82" t="s">
        <v>105</v>
      </c>
      <c r="C11" s="83">
        <v>0</v>
      </c>
      <c r="D11" s="84" t="s">
        <v>105</v>
      </c>
      <c r="E11" s="89">
        <v>0</v>
      </c>
      <c r="F11" s="75"/>
      <c r="G11" s="90" t="s">
        <v>24</v>
      </c>
      <c r="H11" s="91">
        <f>VLOOKUP(LEFT($B$1,4),Tab_LeiV_MW[[ ]:[B2]],6,FALSE)+Tab_SZ35[[#This Row],[  ]]</f>
        <v>3041.9949999999999</v>
      </c>
      <c r="I11" s="92">
        <f>VLOOKUP($C$1,Tab_ERA35[[ERA-
Entgeltgruppe]:[Grundentgelt]],3,FALSE)*1.15+Tab_SZ35[[#This Row],[   ]]</f>
        <v>3136.0499999999997</v>
      </c>
      <c r="J11" s="46"/>
      <c r="K11" s="16" t="s">
        <v>24</v>
      </c>
      <c r="L11" s="17" t="s">
        <v>105</v>
      </c>
      <c r="M11" s="18">
        <v>0</v>
      </c>
      <c r="N11" s="21" t="s">
        <v>105</v>
      </c>
      <c r="O11" s="19">
        <v>0</v>
      </c>
      <c r="P11" s="46"/>
      <c r="Q11" s="63" t="s">
        <v>24</v>
      </c>
      <c r="R11" s="64">
        <f>VLOOKUP(LEFT($B$1,4),Tab_LeiV_MW[[ ]:[B2]],6,FALSE)+Tab_SZ37[[#This Row],[  ]]</f>
        <v>3041.9949999999999</v>
      </c>
      <c r="S11" s="65">
        <f>VLOOKUP($C$1,Tab_ERA37[[ERA-
Entgeltgruppe]:[Grundentgelt]],3,FALSE)*1.15+Tab_SZ37[[#This Row],[   ]]</f>
        <v>3337.1718842975197</v>
      </c>
    </row>
    <row r="12" spans="1:19" x14ac:dyDescent="0.3">
      <c r="A12" s="76" t="s">
        <v>25</v>
      </c>
      <c r="B12" s="82" t="s">
        <v>105</v>
      </c>
      <c r="C12" s="83">
        <v>0</v>
      </c>
      <c r="D12" s="84" t="s">
        <v>105</v>
      </c>
      <c r="E12" s="89">
        <v>0</v>
      </c>
      <c r="F12" s="75"/>
      <c r="G12" s="93" t="s">
        <v>25</v>
      </c>
      <c r="H12" s="91">
        <f>VLOOKUP(LEFT($B$1,4),Tab_LeiV_MW[[ ]:[B2]],6,FALSE)+Tab_SZ35[[#This Row],[  ]]</f>
        <v>3041.9949999999999</v>
      </c>
      <c r="I12" s="92">
        <f>VLOOKUP($C$1,Tab_ERA35[[ERA-
Entgeltgruppe]:[Grundentgelt]],3,FALSE)*1.15+Tab_SZ35[[#This Row],[   ]]</f>
        <v>3136.0499999999997</v>
      </c>
      <c r="J12" s="46"/>
      <c r="K12" s="16" t="s">
        <v>25</v>
      </c>
      <c r="L12" s="17" t="s">
        <v>105</v>
      </c>
      <c r="M12" s="18">
        <v>0</v>
      </c>
      <c r="N12" s="21" t="s">
        <v>105</v>
      </c>
      <c r="O12" s="19">
        <v>0</v>
      </c>
      <c r="P12" s="46"/>
      <c r="Q12" s="66" t="s">
        <v>25</v>
      </c>
      <c r="R12" s="64">
        <f>VLOOKUP(LEFT($B$1,4),Tab_LeiV_MW[[ ]:[B2]],6,FALSE)+Tab_SZ37[[#This Row],[  ]]</f>
        <v>3041.9949999999999</v>
      </c>
      <c r="S12" s="65">
        <f>VLOOKUP($C$1,Tab_ERA37[[ERA-
Entgeltgruppe]:[Grundentgelt]],3,FALSE)*1.15+Tab_SZ37[[#This Row],[   ]]</f>
        <v>3337.1718842975197</v>
      </c>
    </row>
    <row r="13" spans="1:19" x14ac:dyDescent="0.3">
      <c r="A13" s="76" t="s">
        <v>26</v>
      </c>
      <c r="B13" s="82" t="s">
        <v>105</v>
      </c>
      <c r="C13" s="83">
        <v>0</v>
      </c>
      <c r="D13" s="84" t="s">
        <v>111</v>
      </c>
      <c r="E13" s="89">
        <f>'ERA-Entgelttabelle'!C10*0.185</f>
        <v>630.66499999999996</v>
      </c>
      <c r="F13" s="75"/>
      <c r="G13" s="90" t="s">
        <v>26</v>
      </c>
      <c r="H13" s="91">
        <f>VLOOKUP(LEFT($B$1,4),Tab_LeiV_MW[[ ]:[B2]],6,FALSE)+Tab_SZ35[[#This Row],[  ]]</f>
        <v>3041.9949999999999</v>
      </c>
      <c r="I13" s="92">
        <f>VLOOKUP($C$1,Tab_ERA35[[ERA-
Entgeltgruppe]:[Grundentgelt]],3,FALSE)*1.15+Tab_SZ35[[#This Row],[   ]]</f>
        <v>3766.7149999999997</v>
      </c>
      <c r="J13" s="46"/>
      <c r="K13" s="16" t="s">
        <v>26</v>
      </c>
      <c r="L13" s="17" t="s">
        <v>105</v>
      </c>
      <c r="M13" s="18">
        <v>0</v>
      </c>
      <c r="N13" s="21" t="s">
        <v>111</v>
      </c>
      <c r="O13" s="19">
        <f>'ERA-Entgelttabelle'!C30*0.185</f>
        <v>671.11095371900808</v>
      </c>
      <c r="P13" s="46"/>
      <c r="Q13" s="63" t="s">
        <v>26</v>
      </c>
      <c r="R13" s="64">
        <f>VLOOKUP(LEFT($B$1,4),Tab_LeiV_MW[[ ]:[B2]],6,FALSE)+Tab_SZ37[[#This Row],[  ]]</f>
        <v>3041.9949999999999</v>
      </c>
      <c r="S13" s="65">
        <f>VLOOKUP($C$1,Tab_ERA37[[ERA-
Entgeltgruppe]:[Grundentgelt]],3,FALSE)*1.15+Tab_SZ37[[#This Row],[   ]]</f>
        <v>4008.2828380165279</v>
      </c>
    </row>
    <row r="14" spans="1:19" x14ac:dyDescent="0.3">
      <c r="A14" s="76" t="s">
        <v>27</v>
      </c>
      <c r="B14" s="82" t="s">
        <v>107</v>
      </c>
      <c r="C14" s="83">
        <f>VLOOKUP(LEFT($B$1,4),Tab_LeiV_MW[[ ]:[B2]],6,FALSE)*0.75</f>
        <v>2281.4962500000001</v>
      </c>
      <c r="D14" s="84" t="s">
        <v>112</v>
      </c>
      <c r="E14" s="89">
        <f>(VLOOKUP($C1,Tab_ERA35[[ERA-
Entgeltgruppe]:[Grundentgelt]],3,FALSE)*1.15)*0.55</f>
        <v>1724.8275000000001</v>
      </c>
      <c r="F14" s="75"/>
      <c r="G14" s="93" t="s">
        <v>27</v>
      </c>
      <c r="H14" s="91">
        <f>VLOOKUP(LEFT($B$1,4),Tab_LeiV_MW[[ ]:[B2]],6,FALSE)+Tab_SZ35[[#This Row],[  ]]</f>
        <v>5323.49125</v>
      </c>
      <c r="I14" s="92">
        <f>VLOOKUP($C$1,Tab_ERA35[[ERA-
Entgeltgruppe]:[Grundentgelt]],3,FALSE)*1.15+Tab_SZ35[[#This Row],[   ]]</f>
        <v>4860.8774999999996</v>
      </c>
      <c r="J14" s="46"/>
      <c r="K14" s="16" t="s">
        <v>27</v>
      </c>
      <c r="L14" s="17" t="s">
        <v>107</v>
      </c>
      <c r="M14" s="18">
        <f>VLOOKUP(LEFT($B$1,4),Tab_LeiV_MW[[ ]:[B2]],6,FALSE)*0.75</f>
        <v>2281.4962500000001</v>
      </c>
      <c r="N14" s="21" t="s">
        <v>112</v>
      </c>
      <c r="O14" s="19">
        <f>((VLOOKUP($C1,Tab_ERA35[[ERA-
Entgeltgruppe]:[Grundentgelt]],3,FALSE)*1.15)*0.55)*160.95/151.25</f>
        <v>1835.4445363636364</v>
      </c>
      <c r="P14" s="46"/>
      <c r="Q14" s="66" t="s">
        <v>27</v>
      </c>
      <c r="R14" s="64">
        <f>VLOOKUP(LEFT($B$1,4),Tab_LeiV_MW[[ ]:[B2]],6,FALSE)+Tab_SZ37[[#This Row],[  ]]</f>
        <v>5323.49125</v>
      </c>
      <c r="S14" s="65">
        <f>VLOOKUP($C$1,Tab_ERA37[[ERA-
Entgeltgruppe]:[Grundentgelt]],3,FALSE)*1.15+Tab_SZ37[[#This Row],[   ]]</f>
        <v>5172.6164206611556</v>
      </c>
    </row>
    <row r="15" spans="1:19" x14ac:dyDescent="0.3">
      <c r="A15" s="76" t="s">
        <v>28</v>
      </c>
      <c r="B15" s="82" t="s">
        <v>105</v>
      </c>
      <c r="C15" s="83">
        <v>0</v>
      </c>
      <c r="D15" s="84" t="s">
        <v>105</v>
      </c>
      <c r="E15" s="85">
        <v>0</v>
      </c>
      <c r="F15" s="75"/>
      <c r="G15" s="90" t="s">
        <v>28</v>
      </c>
      <c r="H15" s="91">
        <f>VLOOKUP(LEFT($B$1,4),Tab_LeiV_MW[[ ]:[B2]],6,FALSE)+Tab_SZ35[[#This Row],[  ]]</f>
        <v>3041.9949999999999</v>
      </c>
      <c r="I15" s="92">
        <f>VLOOKUP($C$1,Tab_ERA35[[ERA-
Entgeltgruppe]:[Grundentgelt]],3,FALSE)*1.15+Tab_SZ35[[#This Row],[   ]]</f>
        <v>3136.0499999999997</v>
      </c>
      <c r="J15" s="46"/>
      <c r="K15" s="16" t="s">
        <v>28</v>
      </c>
      <c r="L15" s="17" t="s">
        <v>105</v>
      </c>
      <c r="M15" s="18">
        <v>0</v>
      </c>
      <c r="N15" s="21" t="s">
        <v>105</v>
      </c>
      <c r="O15" s="20">
        <v>0</v>
      </c>
      <c r="P15" s="46"/>
      <c r="Q15" s="63" t="s">
        <v>28</v>
      </c>
      <c r="R15" s="64">
        <f>VLOOKUP(LEFT($B$1,4),Tab_LeiV_MW[[ ]:[B2]],6,FALSE)+Tab_SZ37[[#This Row],[  ]]</f>
        <v>3041.9949999999999</v>
      </c>
      <c r="S15" s="65">
        <f>VLOOKUP($C$1,Tab_ERA37[[ERA-
Entgeltgruppe]:[Grundentgelt]],3,FALSE)*1.15+Tab_SZ37[[#This Row],[   ]]</f>
        <v>3337.1718842975197</v>
      </c>
    </row>
    <row r="16" spans="1:19" x14ac:dyDescent="0.3">
      <c r="A16" s="75"/>
      <c r="B16" s="75"/>
      <c r="C16" s="94"/>
      <c r="D16" s="75"/>
      <c r="E16" s="75"/>
      <c r="F16" s="95"/>
      <c r="G16" s="96" t="s">
        <v>163</v>
      </c>
      <c r="H16" s="97">
        <f>SUM(Tab_JE35[EBM])</f>
        <v>40914.832749999994</v>
      </c>
      <c r="I16" s="98">
        <f>SUM(Tab_JE35[Tarif])</f>
        <v>43622.774449999997</v>
      </c>
      <c r="J16" s="46"/>
      <c r="K16" s="46"/>
      <c r="L16" s="46"/>
      <c r="M16" s="53"/>
      <c r="N16" s="46"/>
      <c r="O16" s="46"/>
      <c r="P16" s="52"/>
      <c r="Q16" s="67" t="s">
        <v>163</v>
      </c>
      <c r="R16" s="69">
        <f>SUM(Tab_JE37[EBM])</f>
        <v>40914.832749999994</v>
      </c>
      <c r="S16" s="68">
        <f>SUM(Tab_JE37[Tarif])</f>
        <v>46420.400315553707</v>
      </c>
    </row>
    <row r="17" spans="1:19" x14ac:dyDescent="0.3">
      <c r="A17" s="46"/>
      <c r="B17" s="46"/>
      <c r="C17" s="53"/>
      <c r="D17" s="46"/>
      <c r="E17" s="46"/>
      <c r="F17" s="52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</row>
    <row r="18" spans="1:19" x14ac:dyDescent="0.3">
      <c r="J18" s="46"/>
    </row>
    <row r="19" spans="1:19" x14ac:dyDescent="0.3">
      <c r="J19" s="46"/>
    </row>
    <row r="20" spans="1:19" x14ac:dyDescent="0.3">
      <c r="C20" t="b">
        <v>0</v>
      </c>
      <c r="J20" s="46"/>
    </row>
    <row r="21" spans="1:19" x14ac:dyDescent="0.3">
      <c r="J21" s="46"/>
    </row>
    <row r="22" spans="1:19" x14ac:dyDescent="0.3">
      <c r="J22" s="46"/>
    </row>
    <row r="23" spans="1:19" x14ac:dyDescent="0.3">
      <c r="J23" s="46"/>
    </row>
    <row r="24" spans="1:19" x14ac:dyDescent="0.3">
      <c r="J24" s="46"/>
    </row>
    <row r="25" spans="1:19" x14ac:dyDescent="0.3">
      <c r="J25" s="46"/>
    </row>
    <row r="26" spans="1:19" x14ac:dyDescent="0.3">
      <c r="J26" s="46"/>
    </row>
    <row r="27" spans="1:19" x14ac:dyDescent="0.3">
      <c r="J27" s="46"/>
    </row>
    <row r="28" spans="1:19" x14ac:dyDescent="0.3">
      <c r="J28" s="46"/>
    </row>
    <row r="29" spans="1:19" x14ac:dyDescent="0.3">
      <c r="J29" s="46"/>
    </row>
    <row r="30" spans="1:19" x14ac:dyDescent="0.3">
      <c r="J30" s="46"/>
    </row>
    <row r="31" spans="1:19" x14ac:dyDescent="0.3">
      <c r="J31" s="46"/>
    </row>
    <row r="32" spans="1:19" x14ac:dyDescent="0.3">
      <c r="J32" s="46"/>
    </row>
    <row r="33" spans="10:10" x14ac:dyDescent="0.3">
      <c r="J33" s="46"/>
    </row>
    <row r="34" spans="10:10" x14ac:dyDescent="0.3">
      <c r="J34" s="46"/>
    </row>
    <row r="35" spans="10:10" x14ac:dyDescent="0.3">
      <c r="J35" s="46"/>
    </row>
  </sheetData>
  <mergeCells count="5">
    <mergeCell ref="A2:E2"/>
    <mergeCell ref="G2:I2"/>
    <mergeCell ref="D1:E1"/>
    <mergeCell ref="K2:O2"/>
    <mergeCell ref="Q2:S2"/>
  </mergeCells>
  <phoneticPr fontId="7" type="noConversion"/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89" r:id="rId4" name="CBox_JE">
          <controlPr defaultSize="0" autoLine="0" linkedCell="B1" listFillRange="Entgeltvergleich!F4:F19" r:id="rId5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2</xdr:col>
                <xdr:colOff>716280</xdr:colOff>
                <xdr:row>1</xdr:row>
                <xdr:rowOff>7620</xdr:rowOff>
              </to>
            </anchor>
          </controlPr>
        </control>
      </mc:Choice>
      <mc:Fallback>
        <control shapeId="12289" r:id="rId4" name="CBox_JE"/>
      </mc:Fallback>
    </mc:AlternateContent>
  </controls>
  <tableParts count="4">
    <tablePart r:id="rId6"/>
    <tablePart r:id="rId7"/>
    <tablePart r:id="rId8"/>
    <tablePart r:id="rId9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89EA0-AA40-4372-9213-F81C4540BE4B}">
  <sheetPr codeName="Tab3"/>
  <dimension ref="A1:F22"/>
  <sheetViews>
    <sheetView workbookViewId="0">
      <selection sqref="A1:D1"/>
    </sheetView>
  </sheetViews>
  <sheetFormatPr baseColWidth="10" defaultColWidth="0" defaultRowHeight="14.4" zeroHeight="1" x14ac:dyDescent="0.3"/>
  <cols>
    <col min="1" max="1" width="57.44140625" bestFit="1" customWidth="1"/>
    <col min="2" max="2" width="12.21875" bestFit="1" customWidth="1"/>
    <col min="3" max="3" width="28.21875" bestFit="1" customWidth="1"/>
    <col min="4" max="4" width="16.21875" bestFit="1" customWidth="1"/>
    <col min="5" max="6" width="0" hidden="1" customWidth="1"/>
    <col min="7" max="16384" width="11.44140625" hidden="1"/>
  </cols>
  <sheetData>
    <row r="1" spans="1:4" ht="15.6" x14ac:dyDescent="0.3">
      <c r="A1" s="114" t="s">
        <v>138</v>
      </c>
      <c r="B1" s="114"/>
      <c r="C1" s="114"/>
      <c r="D1" s="114"/>
    </row>
    <row r="2" spans="1:4" ht="15.6" x14ac:dyDescent="0.3">
      <c r="A2" s="27" t="s">
        <v>131</v>
      </c>
      <c r="B2" s="24"/>
      <c r="C2" s="24"/>
      <c r="D2" s="24"/>
    </row>
    <row r="3" spans="1:4" ht="15.6" x14ac:dyDescent="0.3">
      <c r="A3" s="11" t="s">
        <v>96</v>
      </c>
      <c r="B3" s="11" t="s">
        <v>116</v>
      </c>
      <c r="C3" s="11" t="s">
        <v>119</v>
      </c>
      <c r="D3" s="15" t="s">
        <v>132</v>
      </c>
    </row>
    <row r="4" spans="1:4" x14ac:dyDescent="0.3">
      <c r="A4" t="s">
        <v>122</v>
      </c>
      <c r="B4" t="s">
        <v>115</v>
      </c>
      <c r="C4" t="s">
        <v>133</v>
      </c>
      <c r="D4" s="10">
        <v>0.15</v>
      </c>
    </row>
    <row r="5" spans="1:4" x14ac:dyDescent="0.3">
      <c r="A5" t="s">
        <v>121</v>
      </c>
      <c r="B5" t="s">
        <v>117</v>
      </c>
      <c r="C5" t="s">
        <v>134</v>
      </c>
      <c r="D5" s="10">
        <v>0.15</v>
      </c>
    </row>
    <row r="6" spans="1:4" x14ac:dyDescent="0.3">
      <c r="A6" t="s">
        <v>121</v>
      </c>
      <c r="B6" t="s">
        <v>118</v>
      </c>
      <c r="C6" t="s">
        <v>133</v>
      </c>
      <c r="D6" s="10">
        <v>0.15</v>
      </c>
    </row>
    <row r="7" spans="1:4" x14ac:dyDescent="0.3">
      <c r="A7" t="s">
        <v>120</v>
      </c>
      <c r="B7" t="s">
        <v>128</v>
      </c>
      <c r="C7" t="s">
        <v>127</v>
      </c>
      <c r="D7" s="10">
        <v>0.35</v>
      </c>
    </row>
    <row r="8" spans="1:4" x14ac:dyDescent="0.3">
      <c r="A8" t="s">
        <v>120</v>
      </c>
      <c r="B8" t="s">
        <v>130</v>
      </c>
      <c r="C8" t="s">
        <v>134</v>
      </c>
      <c r="D8" s="10">
        <v>0.4</v>
      </c>
    </row>
    <row r="9" spans="1:4" x14ac:dyDescent="0.3">
      <c r="A9" t="s">
        <v>120</v>
      </c>
      <c r="B9" t="s">
        <v>129</v>
      </c>
      <c r="C9" t="s">
        <v>127</v>
      </c>
      <c r="D9" s="10">
        <v>0.35</v>
      </c>
    </row>
    <row r="10" spans="1:4" x14ac:dyDescent="0.3">
      <c r="A10" t="s">
        <v>125</v>
      </c>
      <c r="B10" t="s">
        <v>126</v>
      </c>
      <c r="D10" s="10">
        <v>0.25</v>
      </c>
    </row>
    <row r="11" spans="1:4" x14ac:dyDescent="0.3">
      <c r="A11" t="s">
        <v>123</v>
      </c>
      <c r="B11" t="s">
        <v>124</v>
      </c>
      <c r="D11" s="10">
        <v>0.5</v>
      </c>
    </row>
    <row r="12" spans="1:4" x14ac:dyDescent="0.3">
      <c r="A12" s="46"/>
      <c r="B12" s="46"/>
      <c r="C12" s="46"/>
      <c r="D12" s="49"/>
    </row>
    <row r="13" spans="1:4" ht="15.6" x14ac:dyDescent="0.3">
      <c r="A13" s="26" t="s">
        <v>145</v>
      </c>
      <c r="B13" s="25"/>
      <c r="C13" s="25"/>
      <c r="D13" s="25"/>
    </row>
    <row r="14" spans="1:4" ht="15.6" x14ac:dyDescent="0.3">
      <c r="A14" s="11" t="s">
        <v>96</v>
      </c>
      <c r="B14" s="11" t="s">
        <v>116</v>
      </c>
      <c r="C14" s="11" t="s">
        <v>119</v>
      </c>
      <c r="D14" s="15" t="s">
        <v>132</v>
      </c>
    </row>
    <row r="15" spans="1:4" x14ac:dyDescent="0.3">
      <c r="A15" t="s">
        <v>7</v>
      </c>
      <c r="B15" t="s">
        <v>126</v>
      </c>
      <c r="D15" s="10">
        <v>0.25</v>
      </c>
    </row>
    <row r="16" spans="1:4" x14ac:dyDescent="0.3">
      <c r="A16" t="s">
        <v>7</v>
      </c>
      <c r="B16" t="s">
        <v>124</v>
      </c>
      <c r="D16" s="10">
        <v>0.5</v>
      </c>
    </row>
    <row r="17" spans="1:4" x14ac:dyDescent="0.3">
      <c r="A17" t="s">
        <v>10</v>
      </c>
      <c r="B17" t="s">
        <v>135</v>
      </c>
      <c r="D17" s="10">
        <v>0.2</v>
      </c>
    </row>
    <row r="18" spans="1:4" x14ac:dyDescent="0.3">
      <c r="A18" t="s">
        <v>15</v>
      </c>
      <c r="B18" t="s">
        <v>136</v>
      </c>
      <c r="D18" s="10">
        <v>0.3</v>
      </c>
    </row>
    <row r="19" spans="1:4" x14ac:dyDescent="0.3">
      <c r="A19" t="s">
        <v>14</v>
      </c>
      <c r="B19" t="s">
        <v>137</v>
      </c>
      <c r="C19" t="s">
        <v>134</v>
      </c>
      <c r="D19" s="10">
        <v>0.4</v>
      </c>
    </row>
    <row r="20" spans="1:4" x14ac:dyDescent="0.3">
      <c r="A20" t="s">
        <v>8</v>
      </c>
      <c r="D20" s="10">
        <v>0.5</v>
      </c>
    </row>
    <row r="21" spans="1:4" x14ac:dyDescent="0.3">
      <c r="A21" t="s">
        <v>9</v>
      </c>
      <c r="D21" s="10" t="s">
        <v>11</v>
      </c>
    </row>
    <row r="22" spans="1:4" x14ac:dyDescent="0.3">
      <c r="A22" t="s">
        <v>12</v>
      </c>
      <c r="D22" s="10" t="s">
        <v>13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8E00A-F98F-44A7-9B58-C368F174E0D8}">
  <sheetPr codeName="Tab4"/>
  <dimension ref="A1:P24"/>
  <sheetViews>
    <sheetView zoomScaleNormal="100" workbookViewId="0">
      <selection sqref="A1:E1"/>
    </sheetView>
  </sheetViews>
  <sheetFormatPr baseColWidth="10" defaultColWidth="0" defaultRowHeight="14.4" zeroHeight="1" x14ac:dyDescent="0.3"/>
  <cols>
    <col min="1" max="1" width="4.77734375" bestFit="1" customWidth="1"/>
    <col min="2" max="2" width="0.21875" customWidth="1"/>
    <col min="3" max="8" width="12.5546875" customWidth="1"/>
    <col min="9" max="14" width="12.5546875" style="46" customWidth="1"/>
    <col min="15" max="16" width="0" hidden="1" customWidth="1"/>
    <col min="17" max="16384" width="12.5546875" hidden="1"/>
  </cols>
  <sheetData>
    <row r="1" spans="1:14" ht="25.8" x14ac:dyDescent="0.5">
      <c r="A1" s="116" t="s">
        <v>101</v>
      </c>
      <c r="B1" s="116"/>
      <c r="C1" s="116"/>
      <c r="D1" s="116"/>
      <c r="E1" s="116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3">
      <c r="A2" s="115" t="s">
        <v>102</v>
      </c>
      <c r="B2" s="115"/>
      <c r="C2" s="115"/>
      <c r="D2" s="115"/>
      <c r="E2" s="115"/>
      <c r="F2" s="115"/>
      <c r="G2" s="46"/>
      <c r="H2" s="46"/>
    </row>
    <row r="3" spans="1:14" ht="15.6" x14ac:dyDescent="0.35">
      <c r="A3" t="s">
        <v>96</v>
      </c>
      <c r="B3" t="s">
        <v>97</v>
      </c>
      <c r="C3" t="s">
        <v>150</v>
      </c>
      <c r="D3" t="s">
        <v>151</v>
      </c>
      <c r="E3" t="s">
        <v>152</v>
      </c>
      <c r="F3" t="s">
        <v>153</v>
      </c>
      <c r="G3" t="s">
        <v>154</v>
      </c>
      <c r="H3" t="s">
        <v>155</v>
      </c>
      <c r="I3" t="s">
        <v>156</v>
      </c>
      <c r="J3" t="s">
        <v>157</v>
      </c>
      <c r="K3" t="s">
        <v>158</v>
      </c>
      <c r="L3" t="s">
        <v>159</v>
      </c>
      <c r="M3" t="s">
        <v>160</v>
      </c>
      <c r="N3" t="s">
        <v>161</v>
      </c>
    </row>
    <row r="4" spans="1:14" x14ac:dyDescent="0.3">
      <c r="A4" t="s">
        <v>94</v>
      </c>
      <c r="C4" s="1">
        <f t="shared" ref="C4:C12" si="0">ROUND($E4*(1+C$13),2)</f>
        <v>6360.27</v>
      </c>
      <c r="D4" s="1">
        <f t="shared" ref="D4:D12" si="1">E4-0.01</f>
        <v>6695.01</v>
      </c>
      <c r="E4" s="1">
        <f>ROUND(E5*1.12,2)</f>
        <v>6695.02</v>
      </c>
      <c r="F4" s="1">
        <f t="shared" ref="F4:F12" si="2">ROUND($E4*(1+G$13),2)-0.01</f>
        <v>7029.76</v>
      </c>
      <c r="G4" s="1">
        <f t="shared" ref="G4:G12" si="3">ROUND($E4*(1+G$13),2)</f>
        <v>7029.77</v>
      </c>
      <c r="H4" s="1">
        <f t="shared" ref="H4:H12" si="4">ROUND($E4*(1+I$13),2)-0.01</f>
        <v>7364.51</v>
      </c>
      <c r="I4" s="1">
        <f t="shared" ref="I4:I12" si="5">ROUND($E4*(1+I$13),2)</f>
        <v>7364.52</v>
      </c>
      <c r="J4" s="1">
        <f t="shared" ref="J4:J12" si="6">ROUND($E4*(1+K$13),2)-0.01</f>
        <v>7699.26</v>
      </c>
      <c r="K4" s="1">
        <f t="shared" ref="K4:K12" si="7">ROUND($E4*(1+K$13),2)</f>
        <v>7699.27</v>
      </c>
      <c r="L4" s="1">
        <f t="shared" ref="L4:L12" si="8">ROUND($E4*(1+M$13),2)-0.01</f>
        <v>8034.01</v>
      </c>
      <c r="M4" s="1">
        <f t="shared" ref="M4:N12" si="9">ROUND($E4*(1+M$13),2)</f>
        <v>8034.02</v>
      </c>
      <c r="N4" s="1">
        <f t="shared" si="9"/>
        <v>8368.7800000000007</v>
      </c>
    </row>
    <row r="5" spans="1:14" x14ac:dyDescent="0.3">
      <c r="A5" t="s">
        <v>93</v>
      </c>
      <c r="C5" s="1">
        <f t="shared" si="0"/>
        <v>5678.82</v>
      </c>
      <c r="D5" s="1">
        <f t="shared" si="1"/>
        <v>5977.69</v>
      </c>
      <c r="E5" s="1">
        <f t="shared" ref="E5:E11" si="10">ROUND(E6*1.12,2)</f>
        <v>5977.7</v>
      </c>
      <c r="F5" s="1">
        <f t="shared" si="2"/>
        <v>6276.58</v>
      </c>
      <c r="G5" s="1">
        <f t="shared" si="3"/>
        <v>6276.59</v>
      </c>
      <c r="H5" s="1">
        <f t="shared" si="4"/>
        <v>6575.46</v>
      </c>
      <c r="I5" s="1">
        <f t="shared" si="5"/>
        <v>6575.47</v>
      </c>
      <c r="J5" s="1">
        <f t="shared" si="6"/>
        <v>6874.3499999999995</v>
      </c>
      <c r="K5" s="1">
        <f t="shared" si="7"/>
        <v>6874.36</v>
      </c>
      <c r="L5" s="1">
        <f t="shared" si="8"/>
        <v>7173.23</v>
      </c>
      <c r="M5" s="1">
        <f t="shared" si="9"/>
        <v>7173.24</v>
      </c>
      <c r="N5" s="1">
        <f t="shared" si="9"/>
        <v>7472.13</v>
      </c>
    </row>
    <row r="6" spans="1:14" x14ac:dyDescent="0.3">
      <c r="A6" t="s">
        <v>92</v>
      </c>
      <c r="C6" s="1">
        <f t="shared" si="0"/>
        <v>5070.37</v>
      </c>
      <c r="D6" s="1">
        <f t="shared" si="1"/>
        <v>5337.2199999999993</v>
      </c>
      <c r="E6" s="1">
        <f t="shared" si="10"/>
        <v>5337.23</v>
      </c>
      <c r="F6" s="1">
        <f t="shared" si="2"/>
        <v>5604.08</v>
      </c>
      <c r="G6" s="1">
        <f t="shared" si="3"/>
        <v>5604.09</v>
      </c>
      <c r="H6" s="1">
        <f t="shared" si="4"/>
        <v>5870.94</v>
      </c>
      <c r="I6" s="1">
        <f t="shared" si="5"/>
        <v>5870.95</v>
      </c>
      <c r="J6" s="1">
        <f t="shared" si="6"/>
        <v>6137.8</v>
      </c>
      <c r="K6" s="1">
        <f t="shared" si="7"/>
        <v>6137.81</v>
      </c>
      <c r="L6" s="1">
        <f t="shared" si="8"/>
        <v>6404.67</v>
      </c>
      <c r="M6" s="1">
        <f t="shared" si="9"/>
        <v>6404.68</v>
      </c>
      <c r="N6" s="1">
        <f t="shared" si="9"/>
        <v>6671.54</v>
      </c>
    </row>
    <row r="7" spans="1:14" x14ac:dyDescent="0.3">
      <c r="A7" t="s">
        <v>91</v>
      </c>
      <c r="C7" s="1">
        <f t="shared" si="0"/>
        <v>4527.1099999999997</v>
      </c>
      <c r="D7" s="1">
        <f t="shared" si="1"/>
        <v>4765.37</v>
      </c>
      <c r="E7" s="1">
        <f t="shared" si="10"/>
        <v>4765.38</v>
      </c>
      <c r="F7" s="1">
        <f t="shared" si="2"/>
        <v>5003.6399999999994</v>
      </c>
      <c r="G7" s="1">
        <f t="shared" si="3"/>
        <v>5003.6499999999996</v>
      </c>
      <c r="H7" s="1">
        <f t="shared" si="4"/>
        <v>5241.91</v>
      </c>
      <c r="I7" s="1">
        <f t="shared" si="5"/>
        <v>5241.92</v>
      </c>
      <c r="J7" s="1">
        <f t="shared" si="6"/>
        <v>5480.1799999999994</v>
      </c>
      <c r="K7" s="1">
        <f t="shared" si="7"/>
        <v>5480.19</v>
      </c>
      <c r="L7" s="1">
        <f t="shared" si="8"/>
        <v>5718.45</v>
      </c>
      <c r="M7" s="1">
        <f t="shared" si="9"/>
        <v>5718.46</v>
      </c>
      <c r="N7" s="1">
        <f t="shared" si="9"/>
        <v>5956.73</v>
      </c>
    </row>
    <row r="8" spans="1:14" x14ac:dyDescent="0.3">
      <c r="A8" t="s">
        <v>90</v>
      </c>
      <c r="C8" s="1">
        <f t="shared" si="0"/>
        <v>4042.06</v>
      </c>
      <c r="D8" s="1">
        <f t="shared" si="1"/>
        <v>4254.79</v>
      </c>
      <c r="E8" s="1">
        <f t="shared" si="10"/>
        <v>4254.8</v>
      </c>
      <c r="F8" s="1">
        <f t="shared" si="2"/>
        <v>4467.53</v>
      </c>
      <c r="G8" s="1">
        <f t="shared" si="3"/>
        <v>4467.54</v>
      </c>
      <c r="H8" s="1">
        <f t="shared" si="4"/>
        <v>4680.2699999999995</v>
      </c>
      <c r="I8" s="1">
        <f t="shared" si="5"/>
        <v>4680.28</v>
      </c>
      <c r="J8" s="1">
        <f t="shared" si="6"/>
        <v>4893.01</v>
      </c>
      <c r="K8" s="1">
        <f t="shared" si="7"/>
        <v>4893.0200000000004</v>
      </c>
      <c r="L8" s="1">
        <f t="shared" si="8"/>
        <v>5105.75</v>
      </c>
      <c r="M8" s="1">
        <f t="shared" si="9"/>
        <v>5105.76</v>
      </c>
      <c r="N8" s="1">
        <f t="shared" si="9"/>
        <v>5318.5</v>
      </c>
    </row>
    <row r="9" spans="1:14" x14ac:dyDescent="0.3">
      <c r="A9" t="s">
        <v>89</v>
      </c>
      <c r="C9" s="1">
        <f t="shared" si="0"/>
        <v>3608.98</v>
      </c>
      <c r="D9" s="1">
        <f t="shared" si="1"/>
        <v>3798.9199999999996</v>
      </c>
      <c r="E9" s="1">
        <f t="shared" si="10"/>
        <v>3798.93</v>
      </c>
      <c r="F9" s="1">
        <f t="shared" si="2"/>
        <v>3988.87</v>
      </c>
      <c r="G9" s="1">
        <f t="shared" si="3"/>
        <v>3988.88</v>
      </c>
      <c r="H9" s="1">
        <f t="shared" si="4"/>
        <v>4178.8099999999995</v>
      </c>
      <c r="I9" s="1">
        <f t="shared" si="5"/>
        <v>4178.82</v>
      </c>
      <c r="J9" s="1">
        <f t="shared" si="6"/>
        <v>4368.76</v>
      </c>
      <c r="K9" s="1">
        <f t="shared" si="7"/>
        <v>4368.7700000000004</v>
      </c>
      <c r="L9" s="1">
        <f t="shared" si="8"/>
        <v>4558.71</v>
      </c>
      <c r="M9" s="1">
        <f t="shared" si="9"/>
        <v>4558.72</v>
      </c>
      <c r="N9" s="1">
        <f t="shared" si="9"/>
        <v>4748.66</v>
      </c>
    </row>
    <row r="10" spans="1:14" x14ac:dyDescent="0.3">
      <c r="A10" t="s">
        <v>88</v>
      </c>
      <c r="C10" s="1">
        <f t="shared" si="0"/>
        <v>3222.31</v>
      </c>
      <c r="D10" s="1">
        <f t="shared" si="1"/>
        <v>3391.89</v>
      </c>
      <c r="E10" s="1">
        <f t="shared" si="10"/>
        <v>3391.9</v>
      </c>
      <c r="F10" s="1">
        <f t="shared" si="2"/>
        <v>3561.49</v>
      </c>
      <c r="G10" s="1">
        <f t="shared" si="3"/>
        <v>3561.5</v>
      </c>
      <c r="H10" s="1">
        <f t="shared" si="4"/>
        <v>3731.08</v>
      </c>
      <c r="I10" s="1">
        <f t="shared" si="5"/>
        <v>3731.09</v>
      </c>
      <c r="J10" s="1">
        <f t="shared" si="6"/>
        <v>3900.68</v>
      </c>
      <c r="K10" s="1">
        <f t="shared" si="7"/>
        <v>3900.69</v>
      </c>
      <c r="L10" s="1">
        <f t="shared" si="8"/>
        <v>4070.27</v>
      </c>
      <c r="M10" s="1">
        <f t="shared" si="9"/>
        <v>4070.28</v>
      </c>
      <c r="N10" s="1">
        <f t="shared" si="9"/>
        <v>4239.88</v>
      </c>
    </row>
    <row r="11" spans="1:14" x14ac:dyDescent="0.3">
      <c r="A11" t="s">
        <v>87</v>
      </c>
      <c r="C11" s="1">
        <f t="shared" si="0"/>
        <v>2877.06</v>
      </c>
      <c r="D11" s="1">
        <f t="shared" si="1"/>
        <v>3028.47</v>
      </c>
      <c r="E11" s="1">
        <f t="shared" si="10"/>
        <v>3028.48</v>
      </c>
      <c r="F11" s="1">
        <f t="shared" si="2"/>
        <v>3179.89</v>
      </c>
      <c r="G11" s="1">
        <f t="shared" si="3"/>
        <v>3179.9</v>
      </c>
      <c r="H11" s="1">
        <f t="shared" si="4"/>
        <v>3331.3199999999997</v>
      </c>
      <c r="I11" s="1">
        <f t="shared" si="5"/>
        <v>3331.33</v>
      </c>
      <c r="J11" s="1">
        <f t="shared" si="6"/>
        <v>3482.74</v>
      </c>
      <c r="K11" s="1">
        <f t="shared" si="7"/>
        <v>3482.75</v>
      </c>
      <c r="L11" s="1">
        <f t="shared" si="8"/>
        <v>3634.1699999999996</v>
      </c>
      <c r="M11" s="1">
        <f t="shared" si="9"/>
        <v>3634.18</v>
      </c>
      <c r="N11" s="1">
        <f t="shared" si="9"/>
        <v>3785.6</v>
      </c>
    </row>
    <row r="12" spans="1:14" x14ac:dyDescent="0.3">
      <c r="A12" t="s">
        <v>86</v>
      </c>
      <c r="C12" s="1">
        <f t="shared" si="0"/>
        <v>2568.8000000000002</v>
      </c>
      <c r="D12" s="1">
        <f t="shared" si="1"/>
        <v>2703.99</v>
      </c>
      <c r="E12" s="1">
        <v>2704</v>
      </c>
      <c r="F12" s="1">
        <f t="shared" si="2"/>
        <v>2839.1899999999996</v>
      </c>
      <c r="G12" s="1">
        <f t="shared" si="3"/>
        <v>2839.2</v>
      </c>
      <c r="H12" s="1">
        <f t="shared" si="4"/>
        <v>2974.39</v>
      </c>
      <c r="I12" s="1">
        <f t="shared" si="5"/>
        <v>2974.4</v>
      </c>
      <c r="J12" s="1">
        <f t="shared" si="6"/>
        <v>3109.5899999999997</v>
      </c>
      <c r="K12" s="1">
        <f t="shared" si="7"/>
        <v>3109.6</v>
      </c>
      <c r="L12" s="1">
        <f t="shared" si="8"/>
        <v>3244.79</v>
      </c>
      <c r="M12" s="1">
        <f t="shared" si="9"/>
        <v>3244.8</v>
      </c>
      <c r="N12" s="1">
        <f t="shared" si="9"/>
        <v>3380</v>
      </c>
    </row>
    <row r="13" spans="1:14" x14ac:dyDescent="0.3">
      <c r="A13" s="46"/>
      <c r="B13" s="46"/>
      <c r="C13" s="43">
        <v>-0.05</v>
      </c>
      <c r="D13" s="44"/>
      <c r="E13" s="43">
        <v>0</v>
      </c>
      <c r="F13" s="44"/>
      <c r="G13" s="43">
        <v>0.05</v>
      </c>
      <c r="H13" s="44"/>
      <c r="I13" s="43">
        <v>0.1</v>
      </c>
      <c r="J13" s="44"/>
      <c r="K13" s="43">
        <v>0.15</v>
      </c>
      <c r="L13" s="44"/>
      <c r="M13" s="43">
        <v>0.2</v>
      </c>
      <c r="N13" s="43">
        <v>0.25</v>
      </c>
    </row>
    <row r="14" spans="1:14" ht="21" x14ac:dyDescent="0.4">
      <c r="A14" s="117" t="s">
        <v>95</v>
      </c>
      <c r="B14" s="117"/>
      <c r="C14" s="117"/>
      <c r="D14" s="117"/>
      <c r="E14" s="47"/>
      <c r="F14" s="47"/>
      <c r="G14" s="47"/>
      <c r="H14" s="46"/>
    </row>
    <row r="15" spans="1:14" x14ac:dyDescent="0.3">
      <c r="A15" t="s">
        <v>96</v>
      </c>
      <c r="B15" t="s">
        <v>97</v>
      </c>
      <c r="C15" t="s">
        <v>31</v>
      </c>
      <c r="D15" t="s">
        <v>32</v>
      </c>
      <c r="E15" t="s">
        <v>33</v>
      </c>
      <c r="F15" t="s">
        <v>34</v>
      </c>
      <c r="G15" t="s">
        <v>35</v>
      </c>
      <c r="H15" t="s">
        <v>36</v>
      </c>
    </row>
    <row r="16" spans="1:14" x14ac:dyDescent="0.3">
      <c r="A16" t="s">
        <v>94</v>
      </c>
      <c r="C16" s="1">
        <f t="shared" ref="C16:C24" si="11">AVERAGE(C4:D4)</f>
        <v>6527.64</v>
      </c>
      <c r="D16" s="1">
        <f t="shared" ref="D16:D24" si="12">AVERAGE(E4:F4)</f>
        <v>6862.39</v>
      </c>
      <c r="E16" s="1">
        <f t="shared" ref="E16:E24" si="13">AVERAGE(G4:H4)</f>
        <v>7197.14</v>
      </c>
      <c r="F16" s="1">
        <f t="shared" ref="F16:F24" si="14">AVERAGE(I4:J4)</f>
        <v>7531.89</v>
      </c>
      <c r="G16" s="1">
        <f t="shared" ref="G16:G24" si="15">AVERAGE(K4:L4)</f>
        <v>7866.64</v>
      </c>
      <c r="H16" s="1">
        <f t="shared" ref="H16:H24" si="16">AVERAGE(M4:N4)</f>
        <v>8201.4000000000015</v>
      </c>
    </row>
    <row r="17" spans="1:10" x14ac:dyDescent="0.3">
      <c r="A17" t="s">
        <v>93</v>
      </c>
      <c r="C17" s="1">
        <f t="shared" si="11"/>
        <v>5828.2549999999992</v>
      </c>
      <c r="D17" s="1">
        <f t="shared" si="12"/>
        <v>6127.1399999999994</v>
      </c>
      <c r="E17" s="1">
        <f t="shared" si="13"/>
        <v>6426.0249999999996</v>
      </c>
      <c r="F17" s="1">
        <f t="shared" si="14"/>
        <v>6724.91</v>
      </c>
      <c r="G17" s="1">
        <f t="shared" si="15"/>
        <v>7023.7950000000001</v>
      </c>
      <c r="H17" s="1">
        <f t="shared" si="16"/>
        <v>7322.6849999999995</v>
      </c>
    </row>
    <row r="18" spans="1:10" x14ac:dyDescent="0.3">
      <c r="A18" t="s">
        <v>92</v>
      </c>
      <c r="C18" s="1">
        <f t="shared" si="11"/>
        <v>5203.7950000000001</v>
      </c>
      <c r="D18" s="1">
        <f t="shared" si="12"/>
        <v>5470.6549999999997</v>
      </c>
      <c r="E18" s="1">
        <f t="shared" si="13"/>
        <v>5737.5149999999994</v>
      </c>
      <c r="F18" s="1">
        <f t="shared" si="14"/>
        <v>6004.375</v>
      </c>
      <c r="G18" s="1">
        <f t="shared" si="15"/>
        <v>6271.24</v>
      </c>
      <c r="H18" s="1">
        <f t="shared" si="16"/>
        <v>6538.1100000000006</v>
      </c>
    </row>
    <row r="19" spans="1:10" x14ac:dyDescent="0.3">
      <c r="A19" t="s">
        <v>91</v>
      </c>
      <c r="C19" s="1">
        <f t="shared" si="11"/>
        <v>4646.24</v>
      </c>
      <c r="D19" s="1">
        <f t="shared" si="12"/>
        <v>4884.51</v>
      </c>
      <c r="E19" s="1">
        <f t="shared" si="13"/>
        <v>5122.78</v>
      </c>
      <c r="F19" s="1">
        <f t="shared" si="14"/>
        <v>5361.0499999999993</v>
      </c>
      <c r="G19" s="1">
        <f t="shared" si="15"/>
        <v>5599.32</v>
      </c>
      <c r="H19" s="1">
        <f t="shared" si="16"/>
        <v>5837.5949999999993</v>
      </c>
    </row>
    <row r="20" spans="1:10" x14ac:dyDescent="0.3">
      <c r="A20" t="s">
        <v>90</v>
      </c>
      <c r="C20" s="1">
        <f t="shared" si="11"/>
        <v>4148.4250000000002</v>
      </c>
      <c r="D20" s="1">
        <f t="shared" si="12"/>
        <v>4361.165</v>
      </c>
      <c r="E20" s="1">
        <f t="shared" si="13"/>
        <v>4573.9049999999997</v>
      </c>
      <c r="F20" s="1">
        <f t="shared" si="14"/>
        <v>4786.6450000000004</v>
      </c>
      <c r="G20" s="1">
        <f t="shared" si="15"/>
        <v>4999.3850000000002</v>
      </c>
      <c r="H20" s="1">
        <f t="shared" si="16"/>
        <v>5212.13</v>
      </c>
    </row>
    <row r="21" spans="1:10" x14ac:dyDescent="0.3">
      <c r="A21" t="s">
        <v>89</v>
      </c>
      <c r="C21" s="1">
        <f t="shared" si="11"/>
        <v>3703.95</v>
      </c>
      <c r="D21" s="1">
        <f t="shared" si="12"/>
        <v>3893.8999999999996</v>
      </c>
      <c r="E21" s="1">
        <f t="shared" si="13"/>
        <v>4083.8449999999998</v>
      </c>
      <c r="F21" s="1">
        <f t="shared" si="14"/>
        <v>4273.79</v>
      </c>
      <c r="G21" s="1">
        <f t="shared" si="15"/>
        <v>4463.74</v>
      </c>
      <c r="H21" s="1">
        <f t="shared" si="16"/>
        <v>4653.6900000000005</v>
      </c>
    </row>
    <row r="22" spans="1:10" x14ac:dyDescent="0.3">
      <c r="A22" t="s">
        <v>88</v>
      </c>
      <c r="C22" s="1">
        <f t="shared" si="11"/>
        <v>3307.1</v>
      </c>
      <c r="D22" s="1">
        <f t="shared" si="12"/>
        <v>3476.6949999999997</v>
      </c>
      <c r="E22" s="1">
        <f t="shared" si="13"/>
        <v>3646.29</v>
      </c>
      <c r="F22" s="1">
        <f t="shared" si="14"/>
        <v>3815.8850000000002</v>
      </c>
      <c r="G22" s="1">
        <f t="shared" si="15"/>
        <v>3985.48</v>
      </c>
      <c r="H22" s="1">
        <f t="shared" si="16"/>
        <v>4155.08</v>
      </c>
    </row>
    <row r="23" spans="1:10" x14ac:dyDescent="0.3">
      <c r="A23" t="s">
        <v>87</v>
      </c>
      <c r="C23" s="1">
        <f t="shared" si="11"/>
        <v>2952.7649999999999</v>
      </c>
      <c r="D23" s="1">
        <f t="shared" si="12"/>
        <v>3104.1849999999999</v>
      </c>
      <c r="E23" s="1">
        <f t="shared" si="13"/>
        <v>3255.6099999999997</v>
      </c>
      <c r="F23" s="1">
        <f t="shared" si="14"/>
        <v>3407.0349999999999</v>
      </c>
      <c r="G23" s="1">
        <f t="shared" si="15"/>
        <v>3558.46</v>
      </c>
      <c r="H23" s="1">
        <f t="shared" si="16"/>
        <v>3709.89</v>
      </c>
    </row>
    <row r="24" spans="1:10" x14ac:dyDescent="0.3">
      <c r="A24" t="s">
        <v>86</v>
      </c>
      <c r="C24" s="1">
        <f t="shared" si="11"/>
        <v>2636.395</v>
      </c>
      <c r="D24" s="1">
        <f t="shared" si="12"/>
        <v>2771.5949999999998</v>
      </c>
      <c r="E24" s="1">
        <f t="shared" si="13"/>
        <v>2906.7950000000001</v>
      </c>
      <c r="F24" s="1">
        <f t="shared" si="14"/>
        <v>3041.9949999999999</v>
      </c>
      <c r="G24" s="1">
        <f t="shared" si="15"/>
        <v>3177.1949999999997</v>
      </c>
      <c r="H24" s="1">
        <f t="shared" si="16"/>
        <v>3312.4</v>
      </c>
      <c r="J24" s="48"/>
    </row>
  </sheetData>
  <sortState xmlns:xlrd2="http://schemas.microsoft.com/office/spreadsheetml/2017/richdata2" ref="A16:A24">
    <sortCondition descending="1" ref="A16:A24"/>
  </sortState>
  <mergeCells count="3">
    <mergeCell ref="A2:F2"/>
    <mergeCell ref="A1:E1"/>
    <mergeCell ref="A14:D14"/>
  </mergeCells>
  <phoneticPr fontId="7" type="noConversion"/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37DA9-DEAD-47FB-9F00-2933B313772C}">
  <sheetPr codeName="Tab5"/>
  <dimension ref="A1:AI40"/>
  <sheetViews>
    <sheetView topLeftCell="A3" workbookViewId="0">
      <selection sqref="A1:B1"/>
    </sheetView>
  </sheetViews>
  <sheetFormatPr baseColWidth="10" defaultColWidth="0" defaultRowHeight="14.4" zeroHeight="1" x14ac:dyDescent="0.3"/>
  <cols>
    <col min="1" max="1" width="19.77734375" bestFit="1" customWidth="1"/>
    <col min="2" max="2" width="13.77734375" bestFit="1" customWidth="1"/>
    <col min="3" max="3" width="19" bestFit="1" customWidth="1"/>
    <col min="4" max="31" width="13.5546875" bestFit="1" customWidth="1"/>
    <col min="32" max="32" width="13.5546875" customWidth="1"/>
    <col min="33" max="33" width="13.5546875" bestFit="1" customWidth="1"/>
    <col min="34" max="34" width="2.77734375" hidden="1" customWidth="1"/>
    <col min="35" max="35" width="0" hidden="1" customWidth="1"/>
    <col min="36" max="16384" width="12.5546875" hidden="1"/>
  </cols>
  <sheetData>
    <row r="1" spans="1:33" ht="25.8" x14ac:dyDescent="0.5">
      <c r="A1" s="119" t="s">
        <v>100</v>
      </c>
      <c r="B1" s="119"/>
      <c r="C1" s="45"/>
      <c r="D1" s="45"/>
      <c r="E1" s="45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</row>
    <row r="2" spans="1:33" x14ac:dyDescent="0.3">
      <c r="A2" s="118" t="s">
        <v>98</v>
      </c>
      <c r="B2" s="118"/>
      <c r="C2" s="118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</row>
    <row r="3" spans="1:33" ht="54" x14ac:dyDescent="0.35">
      <c r="A3" s="13" t="s">
        <v>99</v>
      </c>
      <c r="B3" s="13" t="s">
        <v>38</v>
      </c>
      <c r="C3" s="14" t="s">
        <v>37</v>
      </c>
      <c r="D3" s="2" t="s">
        <v>39</v>
      </c>
      <c r="E3" s="2" t="s">
        <v>40</v>
      </c>
      <c r="F3" s="2" t="s">
        <v>41</v>
      </c>
      <c r="G3" s="2" t="s">
        <v>42</v>
      </c>
      <c r="H3" s="2" t="s">
        <v>43</v>
      </c>
      <c r="I3" s="2" t="s">
        <v>44</v>
      </c>
      <c r="J3" s="2" t="s">
        <v>45</v>
      </c>
      <c r="K3" s="2" t="s">
        <v>46</v>
      </c>
      <c r="L3" s="2" t="s">
        <v>47</v>
      </c>
      <c r="M3" s="2" t="s">
        <v>48</v>
      </c>
      <c r="N3" s="2" t="s">
        <v>49</v>
      </c>
      <c r="O3" s="2" t="s">
        <v>50</v>
      </c>
      <c r="P3" s="2" t="s">
        <v>51</v>
      </c>
      <c r="Q3" s="2" t="s">
        <v>52</v>
      </c>
      <c r="R3" s="2" t="s">
        <v>53</v>
      </c>
      <c r="S3" s="2" t="s">
        <v>54</v>
      </c>
      <c r="T3" s="2" t="s">
        <v>55</v>
      </c>
      <c r="U3" s="2" t="s">
        <v>56</v>
      </c>
      <c r="V3" s="2" t="s">
        <v>57</v>
      </c>
      <c r="W3" s="2" t="s">
        <v>58</v>
      </c>
      <c r="X3" s="2" t="s">
        <v>59</v>
      </c>
      <c r="Y3" s="2" t="s">
        <v>60</v>
      </c>
      <c r="Z3" s="2" t="s">
        <v>61</v>
      </c>
      <c r="AA3" s="2" t="s">
        <v>62</v>
      </c>
      <c r="AB3" s="2" t="s">
        <v>63</v>
      </c>
      <c r="AC3" s="2" t="s">
        <v>64</v>
      </c>
      <c r="AD3" s="2" t="s">
        <v>65</v>
      </c>
      <c r="AE3" s="2" t="s">
        <v>66</v>
      </c>
      <c r="AF3" s="2" t="s">
        <v>67</v>
      </c>
      <c r="AG3" s="2" t="s">
        <v>68</v>
      </c>
    </row>
    <row r="4" spans="1:33" ht="41.4" x14ac:dyDescent="0.3">
      <c r="A4" s="7" t="s">
        <v>69</v>
      </c>
      <c r="B4" s="3">
        <v>0.74</v>
      </c>
      <c r="C4" s="6">
        <f>MROUND($C$10*Tab_ERA35[[#This Row],[Entgelt-
gruppen-
schlüssel]],0.5)</f>
        <v>2522.5</v>
      </c>
      <c r="D4" s="12" t="str">
        <f>"+" &amp; ROUND($C4*Tab_ERA35[[#Headers],[1%]],2) &amp; "€
            " &amp; ROUND($C4*(1+Tab_ERA35[[#Headers],[1%]]),2) &amp; "€"</f>
        <v>+25,23€
            2547,73€</v>
      </c>
      <c r="E4" s="12" t="str">
        <f>"+" &amp; ROUND($C4*Tab_ERA35[[#Headers],[2%]],2) &amp; "€
            " &amp; ROUND($C4*(1+Tab_ERA35[[#Headers],[2%]]),2) &amp; "€"</f>
        <v>+50,45€
            2572,95€</v>
      </c>
      <c r="F4" s="12" t="str">
        <f>"+" &amp; ROUND($C4*Tab_ERA35[[#Headers],[2%]],2) &amp; "€
            " &amp; ROUND($C4*(1+Tab_ERA35[[#Headers],[2%]]),2) &amp; "€"</f>
        <v>+50,45€
            2572,95€</v>
      </c>
      <c r="G4" s="12" t="str">
        <f>"+" &amp; ROUND($C4*Tab_ERA35[[#Headers],[3%]],2) &amp; "€
            " &amp; ROUND($C4*(1+Tab_ERA35[[#Headers],[3%]]),2) &amp; "€"</f>
        <v>+75,68€
            2598,18€</v>
      </c>
      <c r="H4" s="12" t="str">
        <f>"+" &amp; ROUND($C4*Tab_ERA35[[#Headers],[3%]],2) &amp; "€
            " &amp; ROUND($C4*(1+Tab_ERA35[[#Headers],[3%]]),2) &amp; "€"</f>
        <v>+75,68€
            2598,18€</v>
      </c>
      <c r="I4" s="12" t="str">
        <f>"+" &amp; ROUND($C4*Tab_ERA35[[#Headers],[4%]],2) &amp; "€
            " &amp; ROUND($C4*(1+Tab_ERA35[[#Headers],[4%]]),2) &amp; "€"</f>
        <v>+100,9€
            2623,4€</v>
      </c>
      <c r="J4" s="12" t="str">
        <f>"+" &amp; ROUND($C4*Tab_ERA35[[#Headers],[4%]],2) &amp; "€
            " &amp; ROUND($C4*(1+Tab_ERA35[[#Headers],[4%]]),2) &amp; "€"</f>
        <v>+100,9€
            2623,4€</v>
      </c>
      <c r="K4" s="12" t="str">
        <f>"+" &amp; ROUND($C4*Tab_ERA35[[#Headers],[5%]],2) &amp; "€
            " &amp; ROUND($C4*(1+Tab_ERA35[[#Headers],[5%]]),2) &amp; "€"</f>
        <v>+126,13€
            2648,63€</v>
      </c>
      <c r="L4" s="12" t="str">
        <f>"+" &amp; ROUND($C4*Tab_ERA35[[#Headers],[5%]],2) &amp; "€
            " &amp; ROUND($C4*(1+Tab_ERA35[[#Headers],[5%]]),2) &amp; "€"</f>
        <v>+126,13€
            2648,63€</v>
      </c>
      <c r="M4" s="12" t="str">
        <f>"+" &amp; ROUND($C4*Tab_ERA35[[#Headers],[6%]],2) &amp; "€
            " &amp; ROUND($C4*(1+Tab_ERA35[[#Headers],[6%]]),2) &amp; "€"</f>
        <v>+151,35€
            2673,85€</v>
      </c>
      <c r="N4" s="12" t="str">
        <f>"+" &amp; ROUND($C4*Tab_ERA35[[#Headers],[6%]],2) &amp; "€
            " &amp; ROUND($C4*(1+Tab_ERA35[[#Headers],[6%]]),2) &amp; "€"</f>
        <v>+151,35€
            2673,85€</v>
      </c>
      <c r="O4" s="12" t="str">
        <f>"+" &amp; ROUND($C4*Tab_ERA35[[#Headers],[7%]],2) &amp; "€
            " &amp; ROUND($C4*(1+Tab_ERA35[[#Headers],[7%]]),2) &amp; "€"</f>
        <v>+176,58€
            2699,08€</v>
      </c>
      <c r="P4" s="12" t="str">
        <f>"+" &amp; ROUND($C4*Tab_ERA35[[#Headers],[7%]],2) &amp; "€
            " &amp; ROUND($C4*(1+Tab_ERA35[[#Headers],[7%]]),2) &amp; "€"</f>
        <v>+176,58€
            2699,08€</v>
      </c>
      <c r="Q4" s="12" t="str">
        <f>"+" &amp; ROUND($C4*Tab_ERA35[[#Headers],[8%]],2) &amp; "€
            " &amp; ROUND($C4*(1+Tab_ERA35[[#Headers],[8%]]),2) &amp; "€"</f>
        <v>+201,8€
            2724,3€</v>
      </c>
      <c r="R4" s="12" t="str">
        <f>"+" &amp; ROUND($C4*Tab_ERA35[[#Headers],[8%]],2) &amp; "€
            " &amp; ROUND($C4*(1+Tab_ERA35[[#Headers],[8%]]),2) &amp; "€"</f>
        <v>+201,8€
            2724,3€</v>
      </c>
      <c r="S4" s="12" t="str">
        <f>"+" &amp; ROUND($C4*Tab_ERA35[[#Headers],[9%]],2) &amp; "€
            " &amp; ROUND($C4*(1+Tab_ERA35[[#Headers],[9%]]),2) &amp; "€"</f>
        <v>+227,03€
            2749,53€</v>
      </c>
      <c r="T4" s="12" t="str">
        <f>"+" &amp; ROUND($C4*Tab_ERA35[[#Headers],[9%]],2) &amp; "€
            " &amp; ROUND($C4*(1+Tab_ERA35[[#Headers],[9%]]),2) &amp; "€"</f>
        <v>+227,03€
            2749,53€</v>
      </c>
      <c r="U4" s="12" t="str">
        <f>"+" &amp; ROUND($C4*Tab_ERA35[[#Headers],[10%]],2) &amp; "€
            " &amp; ROUND($C4*(1+Tab_ERA35[[#Headers],[10%]]),2) &amp; "€"</f>
        <v>+252,25€
            2774,75€</v>
      </c>
      <c r="V4" s="12" t="str">
        <f>"+" &amp; ROUND($C4*Tab_ERA35[[#Headers],[10%]],2) &amp; "€
            " &amp; ROUND($C4*(1+Tab_ERA35[[#Headers],[10%]]),2) &amp; "€"</f>
        <v>+252,25€
            2774,75€</v>
      </c>
      <c r="W4" s="12" t="str">
        <f>"+" &amp; ROUND($C4*Tab_ERA35[[#Headers],[11%]],2) &amp; "€
            " &amp; ROUND($C4*(1+Tab_ERA35[[#Headers],[11%]]),2) &amp; "€"</f>
        <v>+277,48€
            2799,98€</v>
      </c>
      <c r="X4" s="12" t="str">
        <f>"+" &amp; ROUND($C4*Tab_ERA35[[#Headers],[11%]],2) &amp; "€
            " &amp; ROUND($C4*(1+Tab_ERA35[[#Headers],[11%]]),2) &amp; "€"</f>
        <v>+277,48€
            2799,98€</v>
      </c>
      <c r="Y4" s="12" t="str">
        <f>"+" &amp; ROUND($C4*Tab_ERA35[[#Headers],[12%]],2) &amp; "€
            " &amp; ROUND($C4*(1+Tab_ERA35[[#Headers],[12%]]),2) &amp; "€"</f>
        <v>+302,7€
            2825,2€</v>
      </c>
      <c r="Z4" s="12" t="str">
        <f>"+" &amp; ROUND($C4*Tab_ERA35[[#Headers],[12%]],2) &amp; "€
            " &amp; ROUND($C4*(1+Tab_ERA35[[#Headers],[12%]]),2) &amp; "€"</f>
        <v>+302,7€
            2825,2€</v>
      </c>
      <c r="AA4" s="12" t="str">
        <f>"+" &amp; ROUND($C4*Tab_ERA35[[#Headers],[13%]],2) &amp; "€
            " &amp; ROUND($C4*(1+Tab_ERA35[[#Headers],[13%]]),2) &amp; "€"</f>
        <v>+327,93€
            2850,43€</v>
      </c>
      <c r="AB4" s="12" t="str">
        <f>"+" &amp; ROUND($C4*Tab_ERA35[[#Headers],[13%]],2) &amp; "€
            " &amp; ROUND($C4*(1+Tab_ERA35[[#Headers],[13%]]),2) &amp; "€"</f>
        <v>+327,93€
            2850,43€</v>
      </c>
      <c r="AC4" s="12" t="str">
        <f>"+" &amp; ROUND($C4*Tab_ERA35[[#Headers],[14%]],2) &amp; "€
            " &amp; ROUND($C4*(1+Tab_ERA35[[#Headers],[14%]]),2) &amp; "€"</f>
        <v>+353,15€
            2875,65€</v>
      </c>
      <c r="AD4" s="12" t="str">
        <f>"+" &amp; ROUND($C4*Tab_ERA35[[#Headers],[14%]],2) &amp; "€
            " &amp; ROUND($C4*(1+Tab_ERA35[[#Headers],[14%]]),2) &amp; "€"</f>
        <v>+353,15€
            2875,65€</v>
      </c>
      <c r="AE4" s="12" t="str">
        <f>"+" &amp; ROUND($C4*Tab_ERA35[[#Headers],[15%]],2) &amp; "€
            " &amp; ROUND($C4*(1+Tab_ERA35[[#Headers],[15%]]),2) &amp; "€"</f>
        <v>+378,38€
            2900,88€</v>
      </c>
      <c r="AF4" s="12" t="str">
        <f>"+" &amp; ROUND($C4*Tab_ERA35[[#Headers],[15%]],2) &amp; "€
            " &amp; ROUND($C4*(1+Tab_ERA35[[#Headers],[15%]]),2) &amp; "€"</f>
        <v>+378,38€
            2900,88€</v>
      </c>
      <c r="AG4" s="12" t="str">
        <f>"+" &amp; ROUND($C4*Tab_ERA35[[#Headers],[16%]],2) &amp; "€
            " &amp; ROUND($C4*(1+Tab_ERA35[[#Headers],[16%]]),2) &amp; "€"</f>
        <v>+403,6€
            2926,1€</v>
      </c>
    </row>
    <row r="5" spans="1:33" ht="41.4" x14ac:dyDescent="0.3">
      <c r="A5" s="4" t="s">
        <v>70</v>
      </c>
      <c r="B5" s="5">
        <v>0.76</v>
      </c>
      <c r="C5" s="6">
        <f>MROUND($C$10*Tab_ERA35[[#This Row],[Entgelt-
gruppen-
schlüssel]],0.5)</f>
        <v>2591</v>
      </c>
      <c r="D5" s="12" t="str">
        <f>"+" &amp; ROUND($C5*Tab_ERA35[[#Headers],[1%]],2) &amp; "€
            " &amp; ROUND($C5*(1+Tab_ERA35[[#Headers],[1%]]),2) &amp; "€"</f>
        <v>+25,91€
            2616,91€</v>
      </c>
      <c r="E5" s="12" t="str">
        <f>"+" &amp; ROUND($C5*Tab_ERA35[[#Headers],[2%]],2) &amp; "€
            " &amp; ROUND($C5*(1+Tab_ERA35[[#Headers],[2%]]),2) &amp; "€"</f>
        <v>+51,82€
            2642,82€</v>
      </c>
      <c r="F5" s="12" t="str">
        <f>"+" &amp; ROUND($C5*Tab_ERA35[[#Headers],[2%]],2) &amp; "€
            " &amp; ROUND($C5*(1+Tab_ERA35[[#Headers],[2%]]),2) &amp; "€"</f>
        <v>+51,82€
            2642,82€</v>
      </c>
      <c r="G5" s="12" t="str">
        <f>"+" &amp; ROUND($C5*Tab_ERA35[[#Headers],[3%]],2) &amp; "€
            " &amp; ROUND($C5*(1+Tab_ERA35[[#Headers],[3%]]),2) &amp; "€"</f>
        <v>+77,73€
            2668,73€</v>
      </c>
      <c r="H5" s="12" t="str">
        <f>"+" &amp; ROUND($C5*Tab_ERA35[[#Headers],[3%]],2) &amp; "€
            " &amp; ROUND($C5*(1+Tab_ERA35[[#Headers],[3%]]),2) &amp; "€"</f>
        <v>+77,73€
            2668,73€</v>
      </c>
      <c r="I5" s="12" t="str">
        <f>"+" &amp; ROUND($C5*Tab_ERA35[[#Headers],[4%]],2) &amp; "€
            " &amp; ROUND($C5*(1+Tab_ERA35[[#Headers],[4%]]),2) &amp; "€"</f>
        <v>+103,64€
            2694,64€</v>
      </c>
      <c r="J5" s="12" t="str">
        <f>"+" &amp; ROUND($C5*Tab_ERA35[[#Headers],[4%]],2) &amp; "€
            " &amp; ROUND($C5*(1+Tab_ERA35[[#Headers],[4%]]),2) &amp; "€"</f>
        <v>+103,64€
            2694,64€</v>
      </c>
      <c r="K5" s="12" t="str">
        <f>"+" &amp; ROUND($C5*Tab_ERA35[[#Headers],[5%]],2) &amp; "€
            " &amp; ROUND($C5*(1+Tab_ERA35[[#Headers],[5%]]),2) &amp; "€"</f>
        <v>+129,55€
            2720,55€</v>
      </c>
      <c r="L5" s="12" t="str">
        <f>"+" &amp; ROUND($C5*Tab_ERA35[[#Headers],[5%]],2) &amp; "€
            " &amp; ROUND($C5*(1+Tab_ERA35[[#Headers],[5%]]),2) &amp; "€"</f>
        <v>+129,55€
            2720,55€</v>
      </c>
      <c r="M5" s="12" t="str">
        <f>"+" &amp; ROUND($C5*Tab_ERA35[[#Headers],[6%]],2) &amp; "€
            " &amp; ROUND($C5*(1+Tab_ERA35[[#Headers],[6%]]),2) &amp; "€"</f>
        <v>+155,46€
            2746,46€</v>
      </c>
      <c r="N5" s="12" t="str">
        <f>"+" &amp; ROUND($C5*Tab_ERA35[[#Headers],[6%]],2) &amp; "€
            " &amp; ROUND($C5*(1+Tab_ERA35[[#Headers],[6%]]),2) &amp; "€"</f>
        <v>+155,46€
            2746,46€</v>
      </c>
      <c r="O5" s="12" t="str">
        <f>"+" &amp; ROUND($C5*Tab_ERA35[[#Headers],[7%]],2) &amp; "€
            " &amp; ROUND($C5*(1+Tab_ERA35[[#Headers],[7%]]),2) &amp; "€"</f>
        <v>+181,37€
            2772,37€</v>
      </c>
      <c r="P5" s="12" t="str">
        <f>"+" &amp; ROUND($C5*Tab_ERA35[[#Headers],[7%]],2) &amp; "€
            " &amp; ROUND($C5*(1+Tab_ERA35[[#Headers],[7%]]),2) &amp; "€"</f>
        <v>+181,37€
            2772,37€</v>
      </c>
      <c r="Q5" s="12" t="str">
        <f>"+" &amp; ROUND($C5*Tab_ERA35[[#Headers],[8%]],2) &amp; "€
            " &amp; ROUND($C5*(1+Tab_ERA35[[#Headers],[8%]]),2) &amp; "€"</f>
        <v>+207,28€
            2798,28€</v>
      </c>
      <c r="R5" s="12" t="str">
        <f>"+" &amp; ROUND($C5*Tab_ERA35[[#Headers],[8%]],2) &amp; "€
            " &amp; ROUND($C5*(1+Tab_ERA35[[#Headers],[8%]]),2) &amp; "€"</f>
        <v>+207,28€
            2798,28€</v>
      </c>
      <c r="S5" s="12" t="str">
        <f>"+" &amp; ROUND($C5*Tab_ERA35[[#Headers],[9%]],2) &amp; "€
            " &amp; ROUND($C5*(1+Tab_ERA35[[#Headers],[9%]]),2) &amp; "€"</f>
        <v>+233,19€
            2824,19€</v>
      </c>
      <c r="T5" s="12" t="str">
        <f>"+" &amp; ROUND($C5*Tab_ERA35[[#Headers],[9%]],2) &amp; "€
            " &amp; ROUND($C5*(1+Tab_ERA35[[#Headers],[9%]]),2) &amp; "€"</f>
        <v>+233,19€
            2824,19€</v>
      </c>
      <c r="U5" s="12" t="str">
        <f>"+" &amp; ROUND($C5*Tab_ERA35[[#Headers],[10%]],2) &amp; "€
            " &amp; ROUND($C5*(1+Tab_ERA35[[#Headers],[10%]]),2) &amp; "€"</f>
        <v>+259,1€
            2850,1€</v>
      </c>
      <c r="V5" s="12" t="str">
        <f>"+" &amp; ROUND($C5*Tab_ERA35[[#Headers],[10%]],2) &amp; "€
            " &amp; ROUND($C5*(1+Tab_ERA35[[#Headers],[10%]]),2) &amp; "€"</f>
        <v>+259,1€
            2850,1€</v>
      </c>
      <c r="W5" s="12" t="str">
        <f>"+" &amp; ROUND($C5*Tab_ERA35[[#Headers],[11%]],2) &amp; "€
            " &amp; ROUND($C5*(1+Tab_ERA35[[#Headers],[11%]]),2) &amp; "€"</f>
        <v>+285,01€
            2876,01€</v>
      </c>
      <c r="X5" s="12" t="str">
        <f>"+" &amp; ROUND($C5*Tab_ERA35[[#Headers],[11%]],2) &amp; "€
            " &amp; ROUND($C5*(1+Tab_ERA35[[#Headers],[11%]]),2) &amp; "€"</f>
        <v>+285,01€
            2876,01€</v>
      </c>
      <c r="Y5" s="12" t="str">
        <f>"+" &amp; ROUND($C5*Tab_ERA35[[#Headers],[12%]],2) &amp; "€
            " &amp; ROUND($C5*(1+Tab_ERA35[[#Headers],[12%]]),2) &amp; "€"</f>
        <v>+310,92€
            2901,92€</v>
      </c>
      <c r="Z5" s="12" t="str">
        <f>"+" &amp; ROUND($C5*Tab_ERA35[[#Headers],[12%]],2) &amp; "€
            " &amp; ROUND($C5*(1+Tab_ERA35[[#Headers],[12%]]),2) &amp; "€"</f>
        <v>+310,92€
            2901,92€</v>
      </c>
      <c r="AA5" s="12" t="str">
        <f>"+" &amp; ROUND($C5*Tab_ERA35[[#Headers],[13%]],2) &amp; "€
            " &amp; ROUND($C5*(1+Tab_ERA35[[#Headers],[13%]]),2) &amp; "€"</f>
        <v>+336,83€
            2927,83€</v>
      </c>
      <c r="AB5" s="12" t="str">
        <f>"+" &amp; ROUND($C5*Tab_ERA35[[#Headers],[13%]],2) &amp; "€
            " &amp; ROUND($C5*(1+Tab_ERA35[[#Headers],[13%]]),2) &amp; "€"</f>
        <v>+336,83€
            2927,83€</v>
      </c>
      <c r="AC5" s="12" t="str">
        <f>"+" &amp; ROUND($C5*Tab_ERA35[[#Headers],[14%]],2) &amp; "€
            " &amp; ROUND($C5*(1+Tab_ERA35[[#Headers],[14%]]),2) &amp; "€"</f>
        <v>+362,74€
            2953,74€</v>
      </c>
      <c r="AD5" s="12" t="str">
        <f>"+" &amp; ROUND($C5*Tab_ERA35[[#Headers],[14%]],2) &amp; "€
            " &amp; ROUND($C5*(1+Tab_ERA35[[#Headers],[14%]]),2) &amp; "€"</f>
        <v>+362,74€
            2953,74€</v>
      </c>
      <c r="AE5" s="12" t="str">
        <f>"+" &amp; ROUND($C5*Tab_ERA35[[#Headers],[15%]],2) &amp; "€
            " &amp; ROUND($C5*(1+Tab_ERA35[[#Headers],[15%]]),2) &amp; "€"</f>
        <v>+388,65€
            2979,65€</v>
      </c>
      <c r="AF5" s="12" t="str">
        <f>"+" &amp; ROUND($C5*Tab_ERA35[[#Headers],[15%]],2) &amp; "€
            " &amp; ROUND($C5*(1+Tab_ERA35[[#Headers],[15%]]),2) &amp; "€"</f>
        <v>+388,65€
            2979,65€</v>
      </c>
      <c r="AG5" s="12" t="str">
        <f>"+" &amp; ROUND($C5*Tab_ERA35[[#Headers],[16%]],2) &amp; "€
            " &amp; ROUND($C5*(1+Tab_ERA35[[#Headers],[16%]]),2) &amp; "€"</f>
        <v>+414,56€
            3005,56€</v>
      </c>
    </row>
    <row r="6" spans="1:33" ht="41.4" x14ac:dyDescent="0.3">
      <c r="A6" s="4" t="s">
        <v>71</v>
      </c>
      <c r="B6" s="5">
        <v>0.8</v>
      </c>
      <c r="C6" s="6">
        <f>MROUND($C$10*Tab_ERA35[[#This Row],[Entgelt-
gruppen-
schlüssel]],0.5)</f>
        <v>2727</v>
      </c>
      <c r="D6" s="12" t="str">
        <f>"+" &amp; ROUND($C6*Tab_ERA35[[#Headers],[1%]],2) &amp; "€
            " &amp; ROUND($C6*(1+Tab_ERA35[[#Headers],[1%]]),2) &amp; "€"</f>
        <v>+27,27€
            2754,27€</v>
      </c>
      <c r="E6" s="12" t="str">
        <f>"+" &amp; ROUND($C6*Tab_ERA35[[#Headers],[2%]],2) &amp; "€
            " &amp; ROUND($C6*(1+Tab_ERA35[[#Headers],[2%]]),2) &amp; "€"</f>
        <v>+54,54€
            2781,54€</v>
      </c>
      <c r="F6" s="12" t="str">
        <f>"+" &amp; ROUND($C6*Tab_ERA35[[#Headers],[2%]],2) &amp; "€
            " &amp; ROUND($C6*(1+Tab_ERA35[[#Headers],[2%]]),2) &amp; "€"</f>
        <v>+54,54€
            2781,54€</v>
      </c>
      <c r="G6" s="12" t="str">
        <f>"+" &amp; ROUND($C6*Tab_ERA35[[#Headers],[3%]],2) &amp; "€
            " &amp; ROUND($C6*(1+Tab_ERA35[[#Headers],[3%]]),2) &amp; "€"</f>
        <v>+81,81€
            2808,81€</v>
      </c>
      <c r="H6" s="12" t="str">
        <f>"+" &amp; ROUND($C6*Tab_ERA35[[#Headers],[3%]],2) &amp; "€
            " &amp; ROUND($C6*(1+Tab_ERA35[[#Headers],[3%]]),2) &amp; "€"</f>
        <v>+81,81€
            2808,81€</v>
      </c>
      <c r="I6" s="12" t="str">
        <f>"+" &amp; ROUND($C6*Tab_ERA35[[#Headers],[4%]],2) &amp; "€
            " &amp; ROUND($C6*(1+Tab_ERA35[[#Headers],[4%]]),2) &amp; "€"</f>
        <v>+109,08€
            2836,08€</v>
      </c>
      <c r="J6" s="12" t="str">
        <f>"+" &amp; ROUND($C6*Tab_ERA35[[#Headers],[4%]],2) &amp; "€
            " &amp; ROUND($C6*(1+Tab_ERA35[[#Headers],[4%]]),2) &amp; "€"</f>
        <v>+109,08€
            2836,08€</v>
      </c>
      <c r="K6" s="12" t="str">
        <f>"+" &amp; ROUND($C6*Tab_ERA35[[#Headers],[5%]],2) &amp; "€
            " &amp; ROUND($C6*(1+Tab_ERA35[[#Headers],[5%]]),2) &amp; "€"</f>
        <v>+136,35€
            2863,35€</v>
      </c>
      <c r="L6" s="12" t="str">
        <f>"+" &amp; ROUND($C6*Tab_ERA35[[#Headers],[5%]],2) &amp; "€
            " &amp; ROUND($C6*(1+Tab_ERA35[[#Headers],[5%]]),2) &amp; "€"</f>
        <v>+136,35€
            2863,35€</v>
      </c>
      <c r="M6" s="12" t="str">
        <f>"+" &amp; ROUND($C6*Tab_ERA35[[#Headers],[6%]],2) &amp; "€
            " &amp; ROUND($C6*(1+Tab_ERA35[[#Headers],[6%]]),2) &amp; "€"</f>
        <v>+163,62€
            2890,62€</v>
      </c>
      <c r="N6" s="12" t="str">
        <f>"+" &amp; ROUND($C6*Tab_ERA35[[#Headers],[6%]],2) &amp; "€
            " &amp; ROUND($C6*(1+Tab_ERA35[[#Headers],[6%]]),2) &amp; "€"</f>
        <v>+163,62€
            2890,62€</v>
      </c>
      <c r="O6" s="12" t="str">
        <f>"+" &amp; ROUND($C6*Tab_ERA35[[#Headers],[7%]],2) &amp; "€
            " &amp; ROUND($C6*(1+Tab_ERA35[[#Headers],[7%]]),2) &amp; "€"</f>
        <v>+190,89€
            2917,89€</v>
      </c>
      <c r="P6" s="12" t="str">
        <f>"+" &amp; ROUND($C6*Tab_ERA35[[#Headers],[7%]],2) &amp; "€
            " &amp; ROUND($C6*(1+Tab_ERA35[[#Headers],[7%]]),2) &amp; "€"</f>
        <v>+190,89€
            2917,89€</v>
      </c>
      <c r="Q6" s="12" t="str">
        <f>"+" &amp; ROUND($C6*Tab_ERA35[[#Headers],[8%]],2) &amp; "€
            " &amp; ROUND($C6*(1+Tab_ERA35[[#Headers],[8%]]),2) &amp; "€"</f>
        <v>+218,16€
            2945,16€</v>
      </c>
      <c r="R6" s="12" t="str">
        <f>"+" &amp; ROUND($C6*Tab_ERA35[[#Headers],[8%]],2) &amp; "€
            " &amp; ROUND($C6*(1+Tab_ERA35[[#Headers],[8%]]),2) &amp; "€"</f>
        <v>+218,16€
            2945,16€</v>
      </c>
      <c r="S6" s="12" t="str">
        <f>"+" &amp; ROUND($C6*Tab_ERA35[[#Headers],[9%]],2) &amp; "€
            " &amp; ROUND($C6*(1+Tab_ERA35[[#Headers],[9%]]),2) &amp; "€"</f>
        <v>+245,43€
            2972,43€</v>
      </c>
      <c r="T6" s="12" t="str">
        <f>"+" &amp; ROUND($C6*Tab_ERA35[[#Headers],[9%]],2) &amp; "€
            " &amp; ROUND($C6*(1+Tab_ERA35[[#Headers],[9%]]),2) &amp; "€"</f>
        <v>+245,43€
            2972,43€</v>
      </c>
      <c r="U6" s="12" t="str">
        <f>"+" &amp; ROUND($C6*Tab_ERA35[[#Headers],[10%]],2) &amp; "€
            " &amp; ROUND($C6*(1+Tab_ERA35[[#Headers],[10%]]),2) &amp; "€"</f>
        <v>+272,7€
            2999,7€</v>
      </c>
      <c r="V6" s="12" t="str">
        <f>"+" &amp; ROUND($C6*Tab_ERA35[[#Headers],[10%]],2) &amp; "€
            " &amp; ROUND($C6*(1+Tab_ERA35[[#Headers],[10%]]),2) &amp; "€"</f>
        <v>+272,7€
            2999,7€</v>
      </c>
      <c r="W6" s="12" t="str">
        <f>"+" &amp; ROUND($C6*Tab_ERA35[[#Headers],[11%]],2) &amp; "€
            " &amp; ROUND($C6*(1+Tab_ERA35[[#Headers],[11%]]),2) &amp; "€"</f>
        <v>+299,97€
            3026,97€</v>
      </c>
      <c r="X6" s="12" t="str">
        <f>"+" &amp; ROUND($C6*Tab_ERA35[[#Headers],[11%]],2) &amp; "€
            " &amp; ROUND($C6*(1+Tab_ERA35[[#Headers],[11%]]),2) &amp; "€"</f>
        <v>+299,97€
            3026,97€</v>
      </c>
      <c r="Y6" s="12" t="str">
        <f>"+" &amp; ROUND($C6*Tab_ERA35[[#Headers],[12%]],2) &amp; "€
            " &amp; ROUND($C6*(1+Tab_ERA35[[#Headers],[12%]]),2) &amp; "€"</f>
        <v>+327,24€
            3054,24€</v>
      </c>
      <c r="Z6" s="12" t="str">
        <f>"+" &amp; ROUND($C6*Tab_ERA35[[#Headers],[12%]],2) &amp; "€
            " &amp; ROUND($C6*(1+Tab_ERA35[[#Headers],[12%]]),2) &amp; "€"</f>
        <v>+327,24€
            3054,24€</v>
      </c>
      <c r="AA6" s="12" t="str">
        <f>"+" &amp; ROUND($C6*Tab_ERA35[[#Headers],[13%]],2) &amp; "€
            " &amp; ROUND($C6*(1+Tab_ERA35[[#Headers],[13%]]),2) &amp; "€"</f>
        <v>+354,51€
            3081,51€</v>
      </c>
      <c r="AB6" s="12" t="str">
        <f>"+" &amp; ROUND($C6*Tab_ERA35[[#Headers],[13%]],2) &amp; "€
            " &amp; ROUND($C6*(1+Tab_ERA35[[#Headers],[13%]]),2) &amp; "€"</f>
        <v>+354,51€
            3081,51€</v>
      </c>
      <c r="AC6" s="12" t="str">
        <f>"+" &amp; ROUND($C6*Tab_ERA35[[#Headers],[14%]],2) &amp; "€
            " &amp; ROUND($C6*(1+Tab_ERA35[[#Headers],[14%]]),2) &amp; "€"</f>
        <v>+381,78€
            3108,78€</v>
      </c>
      <c r="AD6" s="12" t="str">
        <f>"+" &amp; ROUND($C6*Tab_ERA35[[#Headers],[14%]],2) &amp; "€
            " &amp; ROUND($C6*(1+Tab_ERA35[[#Headers],[14%]]),2) &amp; "€"</f>
        <v>+381,78€
            3108,78€</v>
      </c>
      <c r="AE6" s="12" t="str">
        <f>"+" &amp; ROUND($C6*Tab_ERA35[[#Headers],[15%]],2) &amp; "€
            " &amp; ROUND($C6*(1+Tab_ERA35[[#Headers],[15%]]),2) &amp; "€"</f>
        <v>+409,05€
            3136,05€</v>
      </c>
      <c r="AF6" s="12" t="str">
        <f>"+" &amp; ROUND($C6*Tab_ERA35[[#Headers],[15%]],2) &amp; "€
            " &amp; ROUND($C6*(1+Tab_ERA35[[#Headers],[15%]]),2) &amp; "€"</f>
        <v>+409,05€
            3136,05€</v>
      </c>
      <c r="AG6" s="12" t="str">
        <f>"+" &amp; ROUND($C6*Tab_ERA35[[#Headers],[16%]],2) &amp; "€
            " &amp; ROUND($C6*(1+Tab_ERA35[[#Headers],[16%]]),2) &amp; "€"</f>
        <v>+436,32€
            3163,32€</v>
      </c>
    </row>
    <row r="7" spans="1:33" ht="41.4" x14ac:dyDescent="0.3">
      <c r="A7" s="4" t="s">
        <v>72</v>
      </c>
      <c r="B7" s="5">
        <v>0.84</v>
      </c>
      <c r="C7" s="6">
        <f>MROUND($C$10*Tab_ERA35[[#This Row],[Entgelt-
gruppen-
schlüssel]],0.5)</f>
        <v>2863.5</v>
      </c>
      <c r="D7" s="12" t="str">
        <f>"+" &amp; ROUND($C7*Tab_ERA35[[#Headers],[1%]],2) &amp; "€
            " &amp; ROUND($C7*(1+Tab_ERA35[[#Headers],[1%]]),2) &amp; "€"</f>
        <v>+28,64€
            2892,14€</v>
      </c>
      <c r="E7" s="12" t="str">
        <f>"+" &amp; ROUND($C7*Tab_ERA35[[#Headers],[2%]],2) &amp; "€
            " &amp; ROUND($C7*(1+Tab_ERA35[[#Headers],[2%]]),2) &amp; "€"</f>
        <v>+57,27€
            2920,77€</v>
      </c>
      <c r="F7" s="12" t="str">
        <f>"+" &amp; ROUND($C7*Tab_ERA35[[#Headers],[2%]],2) &amp; "€
            " &amp; ROUND($C7*(1+Tab_ERA35[[#Headers],[2%]]),2) &amp; "€"</f>
        <v>+57,27€
            2920,77€</v>
      </c>
      <c r="G7" s="12" t="str">
        <f>"+" &amp; ROUND($C7*Tab_ERA35[[#Headers],[3%]],2) &amp; "€
            " &amp; ROUND($C7*(1+Tab_ERA35[[#Headers],[3%]]),2) &amp; "€"</f>
        <v>+85,91€
            2949,41€</v>
      </c>
      <c r="H7" s="12" t="str">
        <f>"+" &amp; ROUND($C7*Tab_ERA35[[#Headers],[3%]],2) &amp; "€
            " &amp; ROUND($C7*(1+Tab_ERA35[[#Headers],[3%]]),2) &amp; "€"</f>
        <v>+85,91€
            2949,41€</v>
      </c>
      <c r="I7" s="12" t="str">
        <f>"+" &amp; ROUND($C7*Tab_ERA35[[#Headers],[4%]],2) &amp; "€
            " &amp; ROUND($C7*(1+Tab_ERA35[[#Headers],[4%]]),2) &amp; "€"</f>
        <v>+114,54€
            2978,04€</v>
      </c>
      <c r="J7" s="12" t="str">
        <f>"+" &amp; ROUND($C7*Tab_ERA35[[#Headers],[4%]],2) &amp; "€
            " &amp; ROUND($C7*(1+Tab_ERA35[[#Headers],[4%]]),2) &amp; "€"</f>
        <v>+114,54€
            2978,04€</v>
      </c>
      <c r="K7" s="12" t="str">
        <f>"+" &amp; ROUND($C7*Tab_ERA35[[#Headers],[5%]],2) &amp; "€
            " &amp; ROUND($C7*(1+Tab_ERA35[[#Headers],[5%]]),2) &amp; "€"</f>
        <v>+143,18€
            3006,68€</v>
      </c>
      <c r="L7" s="12" t="str">
        <f>"+" &amp; ROUND($C7*Tab_ERA35[[#Headers],[5%]],2) &amp; "€
            " &amp; ROUND($C7*(1+Tab_ERA35[[#Headers],[5%]]),2) &amp; "€"</f>
        <v>+143,18€
            3006,68€</v>
      </c>
      <c r="M7" s="12" t="str">
        <f>"+" &amp; ROUND($C7*Tab_ERA35[[#Headers],[6%]],2) &amp; "€
            " &amp; ROUND($C7*(1+Tab_ERA35[[#Headers],[6%]]),2) &amp; "€"</f>
        <v>+171,81€
            3035,31€</v>
      </c>
      <c r="N7" s="12" t="str">
        <f>"+" &amp; ROUND($C7*Tab_ERA35[[#Headers],[6%]],2) &amp; "€
            " &amp; ROUND($C7*(1+Tab_ERA35[[#Headers],[6%]]),2) &amp; "€"</f>
        <v>+171,81€
            3035,31€</v>
      </c>
      <c r="O7" s="12" t="str">
        <f>"+" &amp; ROUND($C7*Tab_ERA35[[#Headers],[7%]],2) &amp; "€
            " &amp; ROUND($C7*(1+Tab_ERA35[[#Headers],[7%]]),2) &amp; "€"</f>
        <v>+200,45€
            3063,95€</v>
      </c>
      <c r="P7" s="12" t="str">
        <f>"+" &amp; ROUND($C7*Tab_ERA35[[#Headers],[7%]],2) &amp; "€
            " &amp; ROUND($C7*(1+Tab_ERA35[[#Headers],[7%]]),2) &amp; "€"</f>
        <v>+200,45€
            3063,95€</v>
      </c>
      <c r="Q7" s="12" t="str">
        <f>"+" &amp; ROUND($C7*Tab_ERA35[[#Headers],[8%]],2) &amp; "€
            " &amp; ROUND($C7*(1+Tab_ERA35[[#Headers],[8%]]),2) &amp; "€"</f>
        <v>+229,08€
            3092,58€</v>
      </c>
      <c r="R7" s="12" t="str">
        <f>"+" &amp; ROUND($C7*Tab_ERA35[[#Headers],[8%]],2) &amp; "€
            " &amp; ROUND($C7*(1+Tab_ERA35[[#Headers],[8%]]),2) &amp; "€"</f>
        <v>+229,08€
            3092,58€</v>
      </c>
      <c r="S7" s="12" t="str">
        <f>"+" &amp; ROUND($C7*Tab_ERA35[[#Headers],[9%]],2) &amp; "€
            " &amp; ROUND($C7*(1+Tab_ERA35[[#Headers],[9%]]),2) &amp; "€"</f>
        <v>+257,72€
            3121,22€</v>
      </c>
      <c r="T7" s="12" t="str">
        <f>"+" &amp; ROUND($C7*Tab_ERA35[[#Headers],[9%]],2) &amp; "€
            " &amp; ROUND($C7*(1+Tab_ERA35[[#Headers],[9%]]),2) &amp; "€"</f>
        <v>+257,72€
            3121,22€</v>
      </c>
      <c r="U7" s="12" t="str">
        <f>"+" &amp; ROUND($C7*Tab_ERA35[[#Headers],[10%]],2) &amp; "€
            " &amp; ROUND($C7*(1+Tab_ERA35[[#Headers],[10%]]),2) &amp; "€"</f>
        <v>+286,35€
            3149,85€</v>
      </c>
      <c r="V7" s="12" t="str">
        <f>"+" &amp; ROUND($C7*Tab_ERA35[[#Headers],[10%]],2) &amp; "€
            " &amp; ROUND($C7*(1+Tab_ERA35[[#Headers],[10%]]),2) &amp; "€"</f>
        <v>+286,35€
            3149,85€</v>
      </c>
      <c r="W7" s="12" t="str">
        <f>"+" &amp; ROUND($C7*Tab_ERA35[[#Headers],[11%]],2) &amp; "€
            " &amp; ROUND($C7*(1+Tab_ERA35[[#Headers],[11%]]),2) &amp; "€"</f>
        <v>+314,99€
            3178,49€</v>
      </c>
      <c r="X7" s="12" t="str">
        <f>"+" &amp; ROUND($C7*Tab_ERA35[[#Headers],[11%]],2) &amp; "€
            " &amp; ROUND($C7*(1+Tab_ERA35[[#Headers],[11%]]),2) &amp; "€"</f>
        <v>+314,99€
            3178,49€</v>
      </c>
      <c r="Y7" s="12" t="str">
        <f>"+" &amp; ROUND($C7*Tab_ERA35[[#Headers],[12%]],2) &amp; "€
            " &amp; ROUND($C7*(1+Tab_ERA35[[#Headers],[12%]]),2) &amp; "€"</f>
        <v>+343,62€
            3207,12€</v>
      </c>
      <c r="Z7" s="12" t="str">
        <f>"+" &amp; ROUND($C7*Tab_ERA35[[#Headers],[12%]],2) &amp; "€
            " &amp; ROUND($C7*(1+Tab_ERA35[[#Headers],[12%]]),2) &amp; "€"</f>
        <v>+343,62€
            3207,12€</v>
      </c>
      <c r="AA7" s="12" t="str">
        <f>"+" &amp; ROUND($C7*Tab_ERA35[[#Headers],[13%]],2) &amp; "€
            " &amp; ROUND($C7*(1+Tab_ERA35[[#Headers],[13%]]),2) &amp; "€"</f>
        <v>+372,26€
            3235,76€</v>
      </c>
      <c r="AB7" s="12" t="str">
        <f>"+" &amp; ROUND($C7*Tab_ERA35[[#Headers],[13%]],2) &amp; "€
            " &amp; ROUND($C7*(1+Tab_ERA35[[#Headers],[13%]]),2) &amp; "€"</f>
        <v>+372,26€
            3235,76€</v>
      </c>
      <c r="AC7" s="12" t="str">
        <f>"+" &amp; ROUND($C7*Tab_ERA35[[#Headers],[14%]],2) &amp; "€
            " &amp; ROUND($C7*(1+Tab_ERA35[[#Headers],[14%]]),2) &amp; "€"</f>
        <v>+400,89€
            3264,39€</v>
      </c>
      <c r="AD7" s="12" t="str">
        <f>"+" &amp; ROUND($C7*Tab_ERA35[[#Headers],[14%]],2) &amp; "€
            " &amp; ROUND($C7*(1+Tab_ERA35[[#Headers],[14%]]),2) &amp; "€"</f>
        <v>+400,89€
            3264,39€</v>
      </c>
      <c r="AE7" s="12" t="str">
        <f>"+" &amp; ROUND($C7*Tab_ERA35[[#Headers],[15%]],2) &amp; "€
            " &amp; ROUND($C7*(1+Tab_ERA35[[#Headers],[15%]]),2) &amp; "€"</f>
        <v>+429,53€
            3293,03€</v>
      </c>
      <c r="AF7" s="12" t="str">
        <f>"+" &amp; ROUND($C7*Tab_ERA35[[#Headers],[15%]],2) &amp; "€
            " &amp; ROUND($C7*(1+Tab_ERA35[[#Headers],[15%]]),2) &amp; "€"</f>
        <v>+429,53€
            3293,03€</v>
      </c>
      <c r="AG7" s="12" t="str">
        <f>"+" &amp; ROUND($C7*Tab_ERA35[[#Headers],[16%]],2) &amp; "€
            " &amp; ROUND($C7*(1+Tab_ERA35[[#Headers],[16%]]),2) &amp; "€"</f>
        <v>+458,16€
            3321,66€</v>
      </c>
    </row>
    <row r="8" spans="1:33" ht="41.4" x14ac:dyDescent="0.3">
      <c r="A8" s="4" t="s">
        <v>73</v>
      </c>
      <c r="B8" s="5">
        <v>0.89</v>
      </c>
      <c r="C8" s="6">
        <f>MROUND($C$10*Tab_ERA35[[#This Row],[Entgelt-
gruppen-
schlüssel]],0.5)</f>
        <v>3034</v>
      </c>
      <c r="D8" s="12" t="str">
        <f>"+" &amp; ROUND($C8*Tab_ERA35[[#Headers],[1%]],2) &amp; "€
            " &amp; ROUND($C8*(1+Tab_ERA35[[#Headers],[1%]]),2) &amp; "€"</f>
        <v>+30,34€
            3064,34€</v>
      </c>
      <c r="E8" s="12" t="str">
        <f>"+" &amp; ROUND($C8*Tab_ERA35[[#Headers],[2%]],2) &amp; "€
            " &amp; ROUND($C8*(1+Tab_ERA35[[#Headers],[2%]]),2) &amp; "€"</f>
        <v>+60,68€
            3094,68€</v>
      </c>
      <c r="F8" s="12" t="str">
        <f>"+" &amp; ROUND($C8*Tab_ERA35[[#Headers],[2%]],2) &amp; "€
            " &amp; ROUND($C8*(1+Tab_ERA35[[#Headers],[2%]]),2) &amp; "€"</f>
        <v>+60,68€
            3094,68€</v>
      </c>
      <c r="G8" s="12" t="str">
        <f>"+" &amp; ROUND($C8*Tab_ERA35[[#Headers],[3%]],2) &amp; "€
            " &amp; ROUND($C8*(1+Tab_ERA35[[#Headers],[3%]]),2) &amp; "€"</f>
        <v>+91,02€
            3125,02€</v>
      </c>
      <c r="H8" s="12" t="str">
        <f>"+" &amp; ROUND($C8*Tab_ERA35[[#Headers],[3%]],2) &amp; "€
            " &amp; ROUND($C8*(1+Tab_ERA35[[#Headers],[3%]]),2) &amp; "€"</f>
        <v>+91,02€
            3125,02€</v>
      </c>
      <c r="I8" s="12" t="str">
        <f>"+" &amp; ROUND($C8*Tab_ERA35[[#Headers],[4%]],2) &amp; "€
            " &amp; ROUND($C8*(1+Tab_ERA35[[#Headers],[4%]]),2) &amp; "€"</f>
        <v>+121,36€
            3155,36€</v>
      </c>
      <c r="J8" s="12" t="str">
        <f>"+" &amp; ROUND($C8*Tab_ERA35[[#Headers],[4%]],2) &amp; "€
            " &amp; ROUND($C8*(1+Tab_ERA35[[#Headers],[4%]]),2) &amp; "€"</f>
        <v>+121,36€
            3155,36€</v>
      </c>
      <c r="K8" s="12" t="str">
        <f>"+" &amp; ROUND($C8*Tab_ERA35[[#Headers],[5%]],2) &amp; "€
            " &amp; ROUND($C8*(1+Tab_ERA35[[#Headers],[5%]]),2) &amp; "€"</f>
        <v>+151,7€
            3185,7€</v>
      </c>
      <c r="L8" s="12" t="str">
        <f>"+" &amp; ROUND($C8*Tab_ERA35[[#Headers],[5%]],2) &amp; "€
            " &amp; ROUND($C8*(1+Tab_ERA35[[#Headers],[5%]]),2) &amp; "€"</f>
        <v>+151,7€
            3185,7€</v>
      </c>
      <c r="M8" s="12" t="str">
        <f>"+" &amp; ROUND($C8*Tab_ERA35[[#Headers],[6%]],2) &amp; "€
            " &amp; ROUND($C8*(1+Tab_ERA35[[#Headers],[6%]]),2) &amp; "€"</f>
        <v>+182,04€
            3216,04€</v>
      </c>
      <c r="N8" s="12" t="str">
        <f>"+" &amp; ROUND($C8*Tab_ERA35[[#Headers],[6%]],2) &amp; "€
            " &amp; ROUND($C8*(1+Tab_ERA35[[#Headers],[6%]]),2) &amp; "€"</f>
        <v>+182,04€
            3216,04€</v>
      </c>
      <c r="O8" s="12" t="str">
        <f>"+" &amp; ROUND($C8*Tab_ERA35[[#Headers],[7%]],2) &amp; "€
            " &amp; ROUND($C8*(1+Tab_ERA35[[#Headers],[7%]]),2) &amp; "€"</f>
        <v>+212,38€
            3246,38€</v>
      </c>
      <c r="P8" s="12" t="str">
        <f>"+" &amp; ROUND($C8*Tab_ERA35[[#Headers],[7%]],2) &amp; "€
            " &amp; ROUND($C8*(1+Tab_ERA35[[#Headers],[7%]]),2) &amp; "€"</f>
        <v>+212,38€
            3246,38€</v>
      </c>
      <c r="Q8" s="12" t="str">
        <f>"+" &amp; ROUND($C8*Tab_ERA35[[#Headers],[8%]],2) &amp; "€
            " &amp; ROUND($C8*(1+Tab_ERA35[[#Headers],[8%]]),2) &amp; "€"</f>
        <v>+242,72€
            3276,72€</v>
      </c>
      <c r="R8" s="12" t="str">
        <f>"+" &amp; ROUND($C8*Tab_ERA35[[#Headers],[8%]],2) &amp; "€
            " &amp; ROUND($C8*(1+Tab_ERA35[[#Headers],[8%]]),2) &amp; "€"</f>
        <v>+242,72€
            3276,72€</v>
      </c>
      <c r="S8" s="12" t="str">
        <f>"+" &amp; ROUND($C8*Tab_ERA35[[#Headers],[9%]],2) &amp; "€
            " &amp; ROUND($C8*(1+Tab_ERA35[[#Headers],[9%]]),2) &amp; "€"</f>
        <v>+273,06€
            3307,06€</v>
      </c>
      <c r="T8" s="12" t="str">
        <f>"+" &amp; ROUND($C8*Tab_ERA35[[#Headers],[9%]],2) &amp; "€
            " &amp; ROUND($C8*(1+Tab_ERA35[[#Headers],[9%]]),2) &amp; "€"</f>
        <v>+273,06€
            3307,06€</v>
      </c>
      <c r="U8" s="12" t="str">
        <f>"+" &amp; ROUND($C8*Tab_ERA35[[#Headers],[10%]],2) &amp; "€
            " &amp; ROUND($C8*(1+Tab_ERA35[[#Headers],[10%]]),2) &amp; "€"</f>
        <v>+303,4€
            3337,4€</v>
      </c>
      <c r="V8" s="12" t="str">
        <f>"+" &amp; ROUND($C8*Tab_ERA35[[#Headers],[10%]],2) &amp; "€
            " &amp; ROUND($C8*(1+Tab_ERA35[[#Headers],[10%]]),2) &amp; "€"</f>
        <v>+303,4€
            3337,4€</v>
      </c>
      <c r="W8" s="12" t="str">
        <f>"+" &amp; ROUND($C8*Tab_ERA35[[#Headers],[11%]],2) &amp; "€
            " &amp; ROUND($C8*(1+Tab_ERA35[[#Headers],[11%]]),2) &amp; "€"</f>
        <v>+333,74€
            3367,74€</v>
      </c>
      <c r="X8" s="12" t="str">
        <f>"+" &amp; ROUND($C8*Tab_ERA35[[#Headers],[11%]],2) &amp; "€
            " &amp; ROUND($C8*(1+Tab_ERA35[[#Headers],[11%]]),2) &amp; "€"</f>
        <v>+333,74€
            3367,74€</v>
      </c>
      <c r="Y8" s="12" t="str">
        <f>"+" &amp; ROUND($C8*Tab_ERA35[[#Headers],[12%]],2) &amp; "€
            " &amp; ROUND($C8*(1+Tab_ERA35[[#Headers],[12%]]),2) &amp; "€"</f>
        <v>+364,08€
            3398,08€</v>
      </c>
      <c r="Z8" s="12" t="str">
        <f>"+" &amp; ROUND($C8*Tab_ERA35[[#Headers],[12%]],2) &amp; "€
            " &amp; ROUND($C8*(1+Tab_ERA35[[#Headers],[12%]]),2) &amp; "€"</f>
        <v>+364,08€
            3398,08€</v>
      </c>
      <c r="AA8" s="12" t="str">
        <f>"+" &amp; ROUND($C8*Tab_ERA35[[#Headers],[13%]],2) &amp; "€
            " &amp; ROUND($C8*(1+Tab_ERA35[[#Headers],[13%]]),2) &amp; "€"</f>
        <v>+394,42€
            3428,42€</v>
      </c>
      <c r="AB8" s="12" t="str">
        <f>"+" &amp; ROUND($C8*Tab_ERA35[[#Headers],[13%]],2) &amp; "€
            " &amp; ROUND($C8*(1+Tab_ERA35[[#Headers],[13%]]),2) &amp; "€"</f>
        <v>+394,42€
            3428,42€</v>
      </c>
      <c r="AC8" s="12" t="str">
        <f>"+" &amp; ROUND($C8*Tab_ERA35[[#Headers],[14%]],2) &amp; "€
            " &amp; ROUND($C8*(1+Tab_ERA35[[#Headers],[14%]]),2) &amp; "€"</f>
        <v>+424,76€
            3458,76€</v>
      </c>
      <c r="AD8" s="12" t="str">
        <f>"+" &amp; ROUND($C8*Tab_ERA35[[#Headers],[14%]],2) &amp; "€
            " &amp; ROUND($C8*(1+Tab_ERA35[[#Headers],[14%]]),2) &amp; "€"</f>
        <v>+424,76€
            3458,76€</v>
      </c>
      <c r="AE8" s="12" t="str">
        <f>"+" &amp; ROUND($C8*Tab_ERA35[[#Headers],[15%]],2) &amp; "€
            " &amp; ROUND($C8*(1+Tab_ERA35[[#Headers],[15%]]),2) &amp; "€"</f>
        <v>+455,1€
            3489,1€</v>
      </c>
      <c r="AF8" s="12" t="str">
        <f>"+" &amp; ROUND($C8*Tab_ERA35[[#Headers],[15%]],2) &amp; "€
            " &amp; ROUND($C8*(1+Tab_ERA35[[#Headers],[15%]]),2) &amp; "€"</f>
        <v>+455,1€
            3489,1€</v>
      </c>
      <c r="AG8" s="12" t="str">
        <f>"+" &amp; ROUND($C8*Tab_ERA35[[#Headers],[16%]],2) &amp; "€
            " &amp; ROUND($C8*(1+Tab_ERA35[[#Headers],[16%]]),2) &amp; "€"</f>
        <v>+485,44€
            3519,44€</v>
      </c>
    </row>
    <row r="9" spans="1:33" ht="41.4" x14ac:dyDescent="0.3">
      <c r="A9" s="4" t="s">
        <v>74</v>
      </c>
      <c r="B9" s="5">
        <v>0.94</v>
      </c>
      <c r="C9" s="6">
        <f>MROUND($C$10*Tab_ERA35[[#This Row],[Entgelt-
gruppen-
schlüssel]],0.5)</f>
        <v>3204.5</v>
      </c>
      <c r="D9" s="12" t="str">
        <f>"+" &amp; ROUND($C9*Tab_ERA35[[#Headers],[1%]],2) &amp; "€
            " &amp; ROUND($C9*(1+Tab_ERA35[[#Headers],[1%]]),2) &amp; "€"</f>
        <v>+32,05€
            3236,55€</v>
      </c>
      <c r="E9" s="12" t="str">
        <f>"+" &amp; ROUND($C9*Tab_ERA35[[#Headers],[2%]],2) &amp; "€
            " &amp; ROUND($C9*(1+Tab_ERA35[[#Headers],[2%]]),2) &amp; "€"</f>
        <v>+64,09€
            3268,59€</v>
      </c>
      <c r="F9" s="12" t="str">
        <f>"+" &amp; ROUND($C9*Tab_ERA35[[#Headers],[2%]],2) &amp; "€
            " &amp; ROUND($C9*(1+Tab_ERA35[[#Headers],[2%]]),2) &amp; "€"</f>
        <v>+64,09€
            3268,59€</v>
      </c>
      <c r="G9" s="12" t="str">
        <f>"+" &amp; ROUND($C9*Tab_ERA35[[#Headers],[3%]],2) &amp; "€
            " &amp; ROUND($C9*(1+Tab_ERA35[[#Headers],[3%]]),2) &amp; "€"</f>
        <v>+96,14€
            3300,64€</v>
      </c>
      <c r="H9" s="12" t="str">
        <f>"+" &amp; ROUND($C9*Tab_ERA35[[#Headers],[3%]],2) &amp; "€
            " &amp; ROUND($C9*(1+Tab_ERA35[[#Headers],[3%]]),2) &amp; "€"</f>
        <v>+96,14€
            3300,64€</v>
      </c>
      <c r="I9" s="12" t="str">
        <f>"+" &amp; ROUND($C9*Tab_ERA35[[#Headers],[4%]],2) &amp; "€
            " &amp; ROUND($C9*(1+Tab_ERA35[[#Headers],[4%]]),2) &amp; "€"</f>
        <v>+128,18€
            3332,68€</v>
      </c>
      <c r="J9" s="12" t="str">
        <f>"+" &amp; ROUND($C9*Tab_ERA35[[#Headers],[4%]],2) &amp; "€
            " &amp; ROUND($C9*(1+Tab_ERA35[[#Headers],[4%]]),2) &amp; "€"</f>
        <v>+128,18€
            3332,68€</v>
      </c>
      <c r="K9" s="12" t="str">
        <f>"+" &amp; ROUND($C9*Tab_ERA35[[#Headers],[5%]],2) &amp; "€
            " &amp; ROUND($C9*(1+Tab_ERA35[[#Headers],[5%]]),2) &amp; "€"</f>
        <v>+160,23€
            3364,73€</v>
      </c>
      <c r="L9" s="12" t="str">
        <f>"+" &amp; ROUND($C9*Tab_ERA35[[#Headers],[5%]],2) &amp; "€
            " &amp; ROUND($C9*(1+Tab_ERA35[[#Headers],[5%]]),2) &amp; "€"</f>
        <v>+160,23€
            3364,73€</v>
      </c>
      <c r="M9" s="12" t="str">
        <f>"+" &amp; ROUND($C9*Tab_ERA35[[#Headers],[6%]],2) &amp; "€
            " &amp; ROUND($C9*(1+Tab_ERA35[[#Headers],[6%]]),2) &amp; "€"</f>
        <v>+192,27€
            3396,77€</v>
      </c>
      <c r="N9" s="12" t="str">
        <f>"+" &amp; ROUND($C9*Tab_ERA35[[#Headers],[6%]],2) &amp; "€
            " &amp; ROUND($C9*(1+Tab_ERA35[[#Headers],[6%]]),2) &amp; "€"</f>
        <v>+192,27€
            3396,77€</v>
      </c>
      <c r="O9" s="12" t="str">
        <f>"+" &amp; ROUND($C9*Tab_ERA35[[#Headers],[7%]],2) &amp; "€
            " &amp; ROUND($C9*(1+Tab_ERA35[[#Headers],[7%]]),2) &amp; "€"</f>
        <v>+224,32€
            3428,82€</v>
      </c>
      <c r="P9" s="12" t="str">
        <f>"+" &amp; ROUND($C9*Tab_ERA35[[#Headers],[7%]],2) &amp; "€
            " &amp; ROUND($C9*(1+Tab_ERA35[[#Headers],[7%]]),2) &amp; "€"</f>
        <v>+224,32€
            3428,82€</v>
      </c>
      <c r="Q9" s="12" t="str">
        <f>"+" &amp; ROUND($C9*Tab_ERA35[[#Headers],[8%]],2) &amp; "€
            " &amp; ROUND($C9*(1+Tab_ERA35[[#Headers],[8%]]),2) &amp; "€"</f>
        <v>+256,36€
            3460,86€</v>
      </c>
      <c r="R9" s="12" t="str">
        <f>"+" &amp; ROUND($C9*Tab_ERA35[[#Headers],[8%]],2) &amp; "€
            " &amp; ROUND($C9*(1+Tab_ERA35[[#Headers],[8%]]),2) &amp; "€"</f>
        <v>+256,36€
            3460,86€</v>
      </c>
      <c r="S9" s="12" t="str">
        <f>"+" &amp; ROUND($C9*Tab_ERA35[[#Headers],[9%]],2) &amp; "€
            " &amp; ROUND($C9*(1+Tab_ERA35[[#Headers],[9%]]),2) &amp; "€"</f>
        <v>+288,41€
            3492,91€</v>
      </c>
      <c r="T9" s="12" t="str">
        <f>"+" &amp; ROUND($C9*Tab_ERA35[[#Headers],[9%]],2) &amp; "€
            " &amp; ROUND($C9*(1+Tab_ERA35[[#Headers],[9%]]),2) &amp; "€"</f>
        <v>+288,41€
            3492,91€</v>
      </c>
      <c r="U9" s="12" t="str">
        <f>"+" &amp; ROUND($C9*Tab_ERA35[[#Headers],[10%]],2) &amp; "€
            " &amp; ROUND($C9*(1+Tab_ERA35[[#Headers],[10%]]),2) &amp; "€"</f>
        <v>+320,45€
            3524,95€</v>
      </c>
      <c r="V9" s="12" t="str">
        <f>"+" &amp; ROUND($C9*Tab_ERA35[[#Headers],[10%]],2) &amp; "€
            " &amp; ROUND($C9*(1+Tab_ERA35[[#Headers],[10%]]),2) &amp; "€"</f>
        <v>+320,45€
            3524,95€</v>
      </c>
      <c r="W9" s="12" t="str">
        <f>"+" &amp; ROUND($C9*Tab_ERA35[[#Headers],[11%]],2) &amp; "€
            " &amp; ROUND($C9*(1+Tab_ERA35[[#Headers],[11%]]),2) &amp; "€"</f>
        <v>+352,5€
            3557€</v>
      </c>
      <c r="X9" s="12" t="str">
        <f>"+" &amp; ROUND($C9*Tab_ERA35[[#Headers],[11%]],2) &amp; "€
            " &amp; ROUND($C9*(1+Tab_ERA35[[#Headers],[11%]]),2) &amp; "€"</f>
        <v>+352,5€
            3557€</v>
      </c>
      <c r="Y9" s="12" t="str">
        <f>"+" &amp; ROUND($C9*Tab_ERA35[[#Headers],[12%]],2) &amp; "€
            " &amp; ROUND($C9*(1+Tab_ERA35[[#Headers],[12%]]),2) &amp; "€"</f>
        <v>+384,54€
            3589,04€</v>
      </c>
      <c r="Z9" s="12" t="str">
        <f>"+" &amp; ROUND($C9*Tab_ERA35[[#Headers],[12%]],2) &amp; "€
            " &amp; ROUND($C9*(1+Tab_ERA35[[#Headers],[12%]]),2) &amp; "€"</f>
        <v>+384,54€
            3589,04€</v>
      </c>
      <c r="AA9" s="12" t="str">
        <f>"+" &amp; ROUND($C9*Tab_ERA35[[#Headers],[13%]],2) &amp; "€
            " &amp; ROUND($C9*(1+Tab_ERA35[[#Headers],[13%]]),2) &amp; "€"</f>
        <v>+416,59€
            3621,09€</v>
      </c>
      <c r="AB9" s="12" t="str">
        <f>"+" &amp; ROUND($C9*Tab_ERA35[[#Headers],[13%]],2) &amp; "€
            " &amp; ROUND($C9*(1+Tab_ERA35[[#Headers],[13%]]),2) &amp; "€"</f>
        <v>+416,59€
            3621,09€</v>
      </c>
      <c r="AC9" s="12" t="str">
        <f>"+" &amp; ROUND($C9*Tab_ERA35[[#Headers],[14%]],2) &amp; "€
            " &amp; ROUND($C9*(1+Tab_ERA35[[#Headers],[14%]]),2) &amp; "€"</f>
        <v>+448,63€
            3653,13€</v>
      </c>
      <c r="AD9" s="12" t="str">
        <f>"+" &amp; ROUND($C9*Tab_ERA35[[#Headers],[14%]],2) &amp; "€
            " &amp; ROUND($C9*(1+Tab_ERA35[[#Headers],[14%]]),2) &amp; "€"</f>
        <v>+448,63€
            3653,13€</v>
      </c>
      <c r="AE9" s="12" t="str">
        <f>"+" &amp; ROUND($C9*Tab_ERA35[[#Headers],[15%]],2) &amp; "€
            " &amp; ROUND($C9*(1+Tab_ERA35[[#Headers],[15%]]),2) &amp; "€"</f>
        <v>+480,68€
            3685,18€</v>
      </c>
      <c r="AF9" s="12" t="str">
        <f>"+" &amp; ROUND($C9*Tab_ERA35[[#Headers],[15%]],2) &amp; "€
            " &amp; ROUND($C9*(1+Tab_ERA35[[#Headers],[15%]]),2) &amp; "€"</f>
        <v>+480,68€
            3685,18€</v>
      </c>
      <c r="AG9" s="12" t="str">
        <f>"+" &amp; ROUND($C9*Tab_ERA35[[#Headers],[16%]],2) &amp; "€
            " &amp; ROUND($C9*(1+Tab_ERA35[[#Headers],[16%]]),2) &amp; "€"</f>
        <v>+512,72€
            3717,22€</v>
      </c>
    </row>
    <row r="10" spans="1:33" ht="41.4" x14ac:dyDescent="0.3">
      <c r="A10" s="4" t="s">
        <v>75</v>
      </c>
      <c r="B10" s="5">
        <v>1</v>
      </c>
      <c r="C10" s="6">
        <v>3409</v>
      </c>
      <c r="D10" s="12" t="str">
        <f>"+" &amp; ROUND($C10*Tab_ERA35[[#Headers],[1%]],2) &amp; "€
            " &amp; ROUND($C10*(1+Tab_ERA35[[#Headers],[1%]]),2) &amp; "€"</f>
        <v>+34,09€
            3443,09€</v>
      </c>
      <c r="E10" s="12" t="str">
        <f>"+" &amp; ROUND($C10*Tab_ERA35[[#Headers],[2%]],2) &amp; "€
            " &amp; ROUND($C10*(1+Tab_ERA35[[#Headers],[2%]]),2) &amp; "€"</f>
        <v>+68,18€
            3477,18€</v>
      </c>
      <c r="F10" s="12" t="str">
        <f>"+" &amp; ROUND($C10*Tab_ERA35[[#Headers],[2%]],2) &amp; "€
            " &amp; ROUND($C10*(1+Tab_ERA35[[#Headers],[2%]]),2) &amp; "€"</f>
        <v>+68,18€
            3477,18€</v>
      </c>
      <c r="G10" s="12" t="str">
        <f>"+" &amp; ROUND($C10*Tab_ERA35[[#Headers],[3%]],2) &amp; "€
            " &amp; ROUND($C10*(1+Tab_ERA35[[#Headers],[3%]]),2) &amp; "€"</f>
        <v>+102,27€
            3511,27€</v>
      </c>
      <c r="H10" s="12" t="str">
        <f>"+" &amp; ROUND($C10*Tab_ERA35[[#Headers],[3%]],2) &amp; "€
            " &amp; ROUND($C10*(1+Tab_ERA35[[#Headers],[3%]]),2) &amp; "€"</f>
        <v>+102,27€
            3511,27€</v>
      </c>
      <c r="I10" s="12" t="str">
        <f>"+" &amp; ROUND($C10*Tab_ERA35[[#Headers],[4%]],2) &amp; "€
            " &amp; ROUND($C10*(1+Tab_ERA35[[#Headers],[4%]]),2) &amp; "€"</f>
        <v>+136,36€
            3545,36€</v>
      </c>
      <c r="J10" s="12" t="str">
        <f>"+" &amp; ROUND($C10*Tab_ERA35[[#Headers],[4%]],2) &amp; "€
            " &amp; ROUND($C10*(1+Tab_ERA35[[#Headers],[4%]]),2) &amp; "€"</f>
        <v>+136,36€
            3545,36€</v>
      </c>
      <c r="K10" s="12" t="str">
        <f>"+" &amp; ROUND($C10*Tab_ERA35[[#Headers],[5%]],2) &amp; "€
            " &amp; ROUND($C10*(1+Tab_ERA35[[#Headers],[5%]]),2) &amp; "€"</f>
        <v>+170,45€
            3579,45€</v>
      </c>
      <c r="L10" s="12" t="str">
        <f>"+" &amp; ROUND($C10*Tab_ERA35[[#Headers],[5%]],2) &amp; "€
            " &amp; ROUND($C10*(1+Tab_ERA35[[#Headers],[5%]]),2) &amp; "€"</f>
        <v>+170,45€
            3579,45€</v>
      </c>
      <c r="M10" s="12" t="str">
        <f>"+" &amp; ROUND($C10*Tab_ERA35[[#Headers],[6%]],2) &amp; "€
            " &amp; ROUND($C10*(1+Tab_ERA35[[#Headers],[6%]]),2) &amp; "€"</f>
        <v>+204,54€
            3613,54€</v>
      </c>
      <c r="N10" s="12" t="str">
        <f>"+" &amp; ROUND($C10*Tab_ERA35[[#Headers],[6%]],2) &amp; "€
            " &amp; ROUND($C10*(1+Tab_ERA35[[#Headers],[6%]]),2) &amp; "€"</f>
        <v>+204,54€
            3613,54€</v>
      </c>
      <c r="O10" s="12" t="str">
        <f>"+" &amp; ROUND($C10*Tab_ERA35[[#Headers],[7%]],2) &amp; "€
            " &amp; ROUND($C10*(1+Tab_ERA35[[#Headers],[7%]]),2) &amp; "€"</f>
        <v>+238,63€
            3647,63€</v>
      </c>
      <c r="P10" s="12" t="str">
        <f>"+" &amp; ROUND($C10*Tab_ERA35[[#Headers],[7%]],2) &amp; "€
            " &amp; ROUND($C10*(1+Tab_ERA35[[#Headers],[7%]]),2) &amp; "€"</f>
        <v>+238,63€
            3647,63€</v>
      </c>
      <c r="Q10" s="12" t="str">
        <f>"+" &amp; ROUND($C10*Tab_ERA35[[#Headers],[8%]],2) &amp; "€
            " &amp; ROUND($C10*(1+Tab_ERA35[[#Headers],[8%]]),2) &amp; "€"</f>
        <v>+272,72€
            3681,72€</v>
      </c>
      <c r="R10" s="12" t="str">
        <f>"+" &amp; ROUND($C10*Tab_ERA35[[#Headers],[8%]],2) &amp; "€
            " &amp; ROUND($C10*(1+Tab_ERA35[[#Headers],[8%]]),2) &amp; "€"</f>
        <v>+272,72€
            3681,72€</v>
      </c>
      <c r="S10" s="12" t="str">
        <f>"+" &amp; ROUND($C10*Tab_ERA35[[#Headers],[9%]],2) &amp; "€
            " &amp; ROUND($C10*(1+Tab_ERA35[[#Headers],[9%]]),2) &amp; "€"</f>
        <v>+306,81€
            3715,81€</v>
      </c>
      <c r="T10" s="12" t="str">
        <f>"+" &amp; ROUND($C10*Tab_ERA35[[#Headers],[9%]],2) &amp; "€
            " &amp; ROUND($C10*(1+Tab_ERA35[[#Headers],[9%]]),2) &amp; "€"</f>
        <v>+306,81€
            3715,81€</v>
      </c>
      <c r="U10" s="12" t="str">
        <f>"+" &amp; ROUND($C10*Tab_ERA35[[#Headers],[10%]],2) &amp; "€
            " &amp; ROUND($C10*(1+Tab_ERA35[[#Headers],[10%]]),2) &amp; "€"</f>
        <v>+340,9€
            3749,9€</v>
      </c>
      <c r="V10" s="12" t="str">
        <f>"+" &amp; ROUND($C10*Tab_ERA35[[#Headers],[10%]],2) &amp; "€
            " &amp; ROUND($C10*(1+Tab_ERA35[[#Headers],[10%]]),2) &amp; "€"</f>
        <v>+340,9€
            3749,9€</v>
      </c>
      <c r="W10" s="12" t="str">
        <f>"+" &amp; ROUND($C10*Tab_ERA35[[#Headers],[11%]],2) &amp; "€
            " &amp; ROUND($C10*(1+Tab_ERA35[[#Headers],[11%]]),2) &amp; "€"</f>
        <v>+374,99€
            3783,99€</v>
      </c>
      <c r="X10" s="12" t="str">
        <f>"+" &amp; ROUND($C10*Tab_ERA35[[#Headers],[11%]],2) &amp; "€
            " &amp; ROUND($C10*(1+Tab_ERA35[[#Headers],[11%]]),2) &amp; "€"</f>
        <v>+374,99€
            3783,99€</v>
      </c>
      <c r="Y10" s="12" t="str">
        <f>"+" &amp; ROUND($C10*Tab_ERA35[[#Headers],[12%]],2) &amp; "€
            " &amp; ROUND($C10*(1+Tab_ERA35[[#Headers],[12%]]),2) &amp; "€"</f>
        <v>+409,08€
            3818,08€</v>
      </c>
      <c r="Z10" s="12" t="str">
        <f>"+" &amp; ROUND($C10*Tab_ERA35[[#Headers],[12%]],2) &amp; "€
            " &amp; ROUND($C10*(1+Tab_ERA35[[#Headers],[12%]]),2) &amp; "€"</f>
        <v>+409,08€
            3818,08€</v>
      </c>
      <c r="AA10" s="12" t="str">
        <f>"+" &amp; ROUND($C10*Tab_ERA35[[#Headers],[13%]],2) &amp; "€
            " &amp; ROUND($C10*(1+Tab_ERA35[[#Headers],[13%]]),2) &amp; "€"</f>
        <v>+443,17€
            3852,17€</v>
      </c>
      <c r="AB10" s="12" t="str">
        <f>"+" &amp; ROUND($C10*Tab_ERA35[[#Headers],[13%]],2) &amp; "€
            " &amp; ROUND($C10*(1+Tab_ERA35[[#Headers],[13%]]),2) &amp; "€"</f>
        <v>+443,17€
            3852,17€</v>
      </c>
      <c r="AC10" s="12" t="str">
        <f>"+" &amp; ROUND($C10*Tab_ERA35[[#Headers],[14%]],2) &amp; "€
            " &amp; ROUND($C10*(1+Tab_ERA35[[#Headers],[14%]]),2) &amp; "€"</f>
        <v>+477,26€
            3886,26€</v>
      </c>
      <c r="AD10" s="12" t="str">
        <f>"+" &amp; ROUND($C10*Tab_ERA35[[#Headers],[14%]],2) &amp; "€
            " &amp; ROUND($C10*(1+Tab_ERA35[[#Headers],[14%]]),2) &amp; "€"</f>
        <v>+477,26€
            3886,26€</v>
      </c>
      <c r="AE10" s="12" t="str">
        <f>"+" &amp; ROUND($C10*Tab_ERA35[[#Headers],[15%]],2) &amp; "€
            " &amp; ROUND($C10*(1+Tab_ERA35[[#Headers],[15%]]),2) &amp; "€"</f>
        <v>+511,35€
            3920,35€</v>
      </c>
      <c r="AF10" s="12" t="str">
        <f>"+" &amp; ROUND($C10*Tab_ERA35[[#Headers],[15%]],2) &amp; "€
            " &amp; ROUND($C10*(1+Tab_ERA35[[#Headers],[15%]]),2) &amp; "€"</f>
        <v>+511,35€
            3920,35€</v>
      </c>
      <c r="AG10" s="12" t="str">
        <f>"+" &amp; ROUND($C10*Tab_ERA35[[#Headers],[16%]],2) &amp; "€
            " &amp; ROUND($C10*(1+Tab_ERA35[[#Headers],[16%]]),2) &amp; "€"</f>
        <v>+545,44€
            3954,44€</v>
      </c>
    </row>
    <row r="11" spans="1:33" ht="41.4" x14ac:dyDescent="0.3">
      <c r="A11" s="4" t="s">
        <v>76</v>
      </c>
      <c r="B11" s="5">
        <v>1.07</v>
      </c>
      <c r="C11" s="6">
        <f>MROUND($C$10*Tab_ERA35[[#This Row],[Entgelt-
gruppen-
schlüssel]],0.5)</f>
        <v>3647.5</v>
      </c>
      <c r="D11" s="12" t="str">
        <f>"+" &amp; ROUND($C11*Tab_ERA35[[#Headers],[1%]],2) &amp; "€
            " &amp; ROUND($C11*(1+Tab_ERA35[[#Headers],[1%]]),2) &amp; "€"</f>
        <v>+36,48€
            3683,98€</v>
      </c>
      <c r="E11" s="12" t="str">
        <f>"+" &amp; ROUND($C11*Tab_ERA35[[#Headers],[2%]],2) &amp; "€
            " &amp; ROUND($C11*(1+Tab_ERA35[[#Headers],[2%]]),2) &amp; "€"</f>
        <v>+72,95€
            3720,45€</v>
      </c>
      <c r="F11" s="12" t="str">
        <f>"+" &amp; ROUND($C11*Tab_ERA35[[#Headers],[2%]],2) &amp; "€
            " &amp; ROUND($C11*(1+Tab_ERA35[[#Headers],[2%]]),2) &amp; "€"</f>
        <v>+72,95€
            3720,45€</v>
      </c>
      <c r="G11" s="12" t="str">
        <f>"+" &amp; ROUND($C11*Tab_ERA35[[#Headers],[3%]],2) &amp; "€
            " &amp; ROUND($C11*(1+Tab_ERA35[[#Headers],[3%]]),2) &amp; "€"</f>
        <v>+109,43€
            3756,93€</v>
      </c>
      <c r="H11" s="12" t="str">
        <f>"+" &amp; ROUND($C11*Tab_ERA35[[#Headers],[3%]],2) &amp; "€
            " &amp; ROUND($C11*(1+Tab_ERA35[[#Headers],[3%]]),2) &amp; "€"</f>
        <v>+109,43€
            3756,93€</v>
      </c>
      <c r="I11" s="12" t="str">
        <f>"+" &amp; ROUND($C11*Tab_ERA35[[#Headers],[4%]],2) &amp; "€
            " &amp; ROUND($C11*(1+Tab_ERA35[[#Headers],[4%]]),2) &amp; "€"</f>
        <v>+145,9€
            3793,4€</v>
      </c>
      <c r="J11" s="12" t="str">
        <f>"+" &amp; ROUND($C11*Tab_ERA35[[#Headers],[4%]],2) &amp; "€
            " &amp; ROUND($C11*(1+Tab_ERA35[[#Headers],[4%]]),2) &amp; "€"</f>
        <v>+145,9€
            3793,4€</v>
      </c>
      <c r="K11" s="12" t="str">
        <f>"+" &amp; ROUND($C11*Tab_ERA35[[#Headers],[5%]],2) &amp; "€
            " &amp; ROUND($C11*(1+Tab_ERA35[[#Headers],[5%]]),2) &amp; "€"</f>
        <v>+182,38€
            3829,88€</v>
      </c>
      <c r="L11" s="12" t="str">
        <f>"+" &amp; ROUND($C11*Tab_ERA35[[#Headers],[5%]],2) &amp; "€
            " &amp; ROUND($C11*(1+Tab_ERA35[[#Headers],[5%]]),2) &amp; "€"</f>
        <v>+182,38€
            3829,88€</v>
      </c>
      <c r="M11" s="12" t="str">
        <f>"+" &amp; ROUND($C11*Tab_ERA35[[#Headers],[6%]],2) &amp; "€
            " &amp; ROUND($C11*(1+Tab_ERA35[[#Headers],[6%]]),2) &amp; "€"</f>
        <v>+218,85€
            3866,35€</v>
      </c>
      <c r="N11" s="12" t="str">
        <f>"+" &amp; ROUND($C11*Tab_ERA35[[#Headers],[6%]],2) &amp; "€
            " &amp; ROUND($C11*(1+Tab_ERA35[[#Headers],[6%]]),2) &amp; "€"</f>
        <v>+218,85€
            3866,35€</v>
      </c>
      <c r="O11" s="12" t="str">
        <f>"+" &amp; ROUND($C11*Tab_ERA35[[#Headers],[7%]],2) &amp; "€
            " &amp; ROUND($C11*(1+Tab_ERA35[[#Headers],[7%]]),2) &amp; "€"</f>
        <v>+255,33€
            3902,83€</v>
      </c>
      <c r="P11" s="12" t="str">
        <f>"+" &amp; ROUND($C11*Tab_ERA35[[#Headers],[7%]],2) &amp; "€
            " &amp; ROUND($C11*(1+Tab_ERA35[[#Headers],[7%]]),2) &amp; "€"</f>
        <v>+255,33€
            3902,83€</v>
      </c>
      <c r="Q11" s="12" t="str">
        <f>"+" &amp; ROUND($C11*Tab_ERA35[[#Headers],[8%]],2) &amp; "€
            " &amp; ROUND($C11*(1+Tab_ERA35[[#Headers],[8%]]),2) &amp; "€"</f>
        <v>+291,8€
            3939,3€</v>
      </c>
      <c r="R11" s="12" t="str">
        <f>"+" &amp; ROUND($C11*Tab_ERA35[[#Headers],[8%]],2) &amp; "€
            " &amp; ROUND($C11*(1+Tab_ERA35[[#Headers],[8%]]),2) &amp; "€"</f>
        <v>+291,8€
            3939,3€</v>
      </c>
      <c r="S11" s="12" t="str">
        <f>"+" &amp; ROUND($C11*Tab_ERA35[[#Headers],[9%]],2) &amp; "€
            " &amp; ROUND($C11*(1+Tab_ERA35[[#Headers],[9%]]),2) &amp; "€"</f>
        <v>+328,28€
            3975,78€</v>
      </c>
      <c r="T11" s="12" t="str">
        <f>"+" &amp; ROUND($C11*Tab_ERA35[[#Headers],[9%]],2) &amp; "€
            " &amp; ROUND($C11*(1+Tab_ERA35[[#Headers],[9%]]),2) &amp; "€"</f>
        <v>+328,28€
            3975,78€</v>
      </c>
      <c r="U11" s="12" t="str">
        <f>"+" &amp; ROUND($C11*Tab_ERA35[[#Headers],[10%]],2) &amp; "€
            " &amp; ROUND($C11*(1+Tab_ERA35[[#Headers],[10%]]),2) &amp; "€"</f>
        <v>+364,75€
            4012,25€</v>
      </c>
      <c r="V11" s="12" t="str">
        <f>"+" &amp; ROUND($C11*Tab_ERA35[[#Headers],[10%]],2) &amp; "€
            " &amp; ROUND($C11*(1+Tab_ERA35[[#Headers],[10%]]),2) &amp; "€"</f>
        <v>+364,75€
            4012,25€</v>
      </c>
      <c r="W11" s="12" t="str">
        <f>"+" &amp; ROUND($C11*Tab_ERA35[[#Headers],[11%]],2) &amp; "€
            " &amp; ROUND($C11*(1+Tab_ERA35[[#Headers],[11%]]),2) &amp; "€"</f>
        <v>+401,23€
            4048,73€</v>
      </c>
      <c r="X11" s="12" t="str">
        <f>"+" &amp; ROUND($C11*Tab_ERA35[[#Headers],[11%]],2) &amp; "€
            " &amp; ROUND($C11*(1+Tab_ERA35[[#Headers],[11%]]),2) &amp; "€"</f>
        <v>+401,23€
            4048,73€</v>
      </c>
      <c r="Y11" s="12" t="str">
        <f>"+" &amp; ROUND($C11*Tab_ERA35[[#Headers],[12%]],2) &amp; "€
            " &amp; ROUND($C11*(1+Tab_ERA35[[#Headers],[12%]]),2) &amp; "€"</f>
        <v>+437,7€
            4085,2€</v>
      </c>
      <c r="Z11" s="12" t="str">
        <f>"+" &amp; ROUND($C11*Tab_ERA35[[#Headers],[12%]],2) &amp; "€
            " &amp; ROUND($C11*(1+Tab_ERA35[[#Headers],[12%]]),2) &amp; "€"</f>
        <v>+437,7€
            4085,2€</v>
      </c>
      <c r="AA11" s="12" t="str">
        <f>"+" &amp; ROUND($C11*Tab_ERA35[[#Headers],[13%]],2) &amp; "€
            " &amp; ROUND($C11*(1+Tab_ERA35[[#Headers],[13%]]),2) &amp; "€"</f>
        <v>+474,18€
            4121,68€</v>
      </c>
      <c r="AB11" s="12" t="str">
        <f>"+" &amp; ROUND($C11*Tab_ERA35[[#Headers],[13%]],2) &amp; "€
            " &amp; ROUND($C11*(1+Tab_ERA35[[#Headers],[13%]]),2) &amp; "€"</f>
        <v>+474,18€
            4121,68€</v>
      </c>
      <c r="AC11" s="12" t="str">
        <f>"+" &amp; ROUND($C11*Tab_ERA35[[#Headers],[14%]],2) &amp; "€
            " &amp; ROUND($C11*(1+Tab_ERA35[[#Headers],[14%]]),2) &amp; "€"</f>
        <v>+510,65€
            4158,15€</v>
      </c>
      <c r="AD11" s="12" t="str">
        <f>"+" &amp; ROUND($C11*Tab_ERA35[[#Headers],[14%]],2) &amp; "€
            " &amp; ROUND($C11*(1+Tab_ERA35[[#Headers],[14%]]),2) &amp; "€"</f>
        <v>+510,65€
            4158,15€</v>
      </c>
      <c r="AE11" s="12" t="str">
        <f>"+" &amp; ROUND($C11*Tab_ERA35[[#Headers],[15%]],2) &amp; "€
            " &amp; ROUND($C11*(1+Tab_ERA35[[#Headers],[15%]]),2) &amp; "€"</f>
        <v>+547,13€
            4194,63€</v>
      </c>
      <c r="AF11" s="12" t="str">
        <f>"+" &amp; ROUND($C11*Tab_ERA35[[#Headers],[15%]],2) &amp; "€
            " &amp; ROUND($C11*(1+Tab_ERA35[[#Headers],[15%]]),2) &amp; "€"</f>
        <v>+547,13€
            4194,63€</v>
      </c>
      <c r="AG11" s="12" t="str">
        <f>"+" &amp; ROUND($C11*Tab_ERA35[[#Headers],[16%]],2) &amp; "€
            " &amp; ROUND($C11*(1+Tab_ERA35[[#Headers],[16%]]),2) &amp; "€"</f>
        <v>+583,6€
            4231,1€</v>
      </c>
    </row>
    <row r="12" spans="1:33" ht="41.4" x14ac:dyDescent="0.3">
      <c r="A12" s="4" t="s">
        <v>77</v>
      </c>
      <c r="B12" s="5">
        <v>1.1399999999999999</v>
      </c>
      <c r="C12" s="6">
        <f>MROUND($C$10*Tab_ERA35[[#This Row],[Entgelt-
gruppen-
schlüssel]],0.5)</f>
        <v>3886.5</v>
      </c>
      <c r="D12" s="12" t="str">
        <f>"+" &amp; ROUND($C12*Tab_ERA35[[#Headers],[1%]],2) &amp; "€
            " &amp; ROUND($C12*(1+Tab_ERA35[[#Headers],[1%]]),2) &amp; "€"</f>
        <v>+38,87€
            3925,37€</v>
      </c>
      <c r="E12" s="12" t="str">
        <f>"+" &amp; ROUND($C12*Tab_ERA35[[#Headers],[2%]],2) &amp; "€
            " &amp; ROUND($C12*(1+Tab_ERA35[[#Headers],[2%]]),2) &amp; "€"</f>
        <v>+77,73€
            3964,23€</v>
      </c>
      <c r="F12" s="12" t="str">
        <f>"+" &amp; ROUND($C12*Tab_ERA35[[#Headers],[2%]],2) &amp; "€
            " &amp; ROUND($C12*(1+Tab_ERA35[[#Headers],[2%]]),2) &amp; "€"</f>
        <v>+77,73€
            3964,23€</v>
      </c>
      <c r="G12" s="12" t="str">
        <f>"+" &amp; ROUND($C12*Tab_ERA35[[#Headers],[3%]],2) &amp; "€
            " &amp; ROUND($C12*(1+Tab_ERA35[[#Headers],[3%]]),2) &amp; "€"</f>
        <v>+116,6€
            4003,1€</v>
      </c>
      <c r="H12" s="12" t="str">
        <f>"+" &amp; ROUND($C12*Tab_ERA35[[#Headers],[3%]],2) &amp; "€
            " &amp; ROUND($C12*(1+Tab_ERA35[[#Headers],[3%]]),2) &amp; "€"</f>
        <v>+116,6€
            4003,1€</v>
      </c>
      <c r="I12" s="12" t="str">
        <f>"+" &amp; ROUND($C12*Tab_ERA35[[#Headers],[4%]],2) &amp; "€
            " &amp; ROUND($C12*(1+Tab_ERA35[[#Headers],[4%]]),2) &amp; "€"</f>
        <v>+155,46€
            4041,96€</v>
      </c>
      <c r="J12" s="12" t="str">
        <f>"+" &amp; ROUND($C12*Tab_ERA35[[#Headers],[4%]],2) &amp; "€
            " &amp; ROUND($C12*(1+Tab_ERA35[[#Headers],[4%]]),2) &amp; "€"</f>
        <v>+155,46€
            4041,96€</v>
      </c>
      <c r="K12" s="12" t="str">
        <f>"+" &amp; ROUND($C12*Tab_ERA35[[#Headers],[5%]],2) &amp; "€
            " &amp; ROUND($C12*(1+Tab_ERA35[[#Headers],[5%]]),2) &amp; "€"</f>
        <v>+194,33€
            4080,83€</v>
      </c>
      <c r="L12" s="12" t="str">
        <f>"+" &amp; ROUND($C12*Tab_ERA35[[#Headers],[5%]],2) &amp; "€
            " &amp; ROUND($C12*(1+Tab_ERA35[[#Headers],[5%]]),2) &amp; "€"</f>
        <v>+194,33€
            4080,83€</v>
      </c>
      <c r="M12" s="12" t="str">
        <f>"+" &amp; ROUND($C12*Tab_ERA35[[#Headers],[6%]],2) &amp; "€
            " &amp; ROUND($C12*(1+Tab_ERA35[[#Headers],[6%]]),2) &amp; "€"</f>
        <v>+233,19€
            4119,69€</v>
      </c>
      <c r="N12" s="12" t="str">
        <f>"+" &amp; ROUND($C12*Tab_ERA35[[#Headers],[6%]],2) &amp; "€
            " &amp; ROUND($C12*(1+Tab_ERA35[[#Headers],[6%]]),2) &amp; "€"</f>
        <v>+233,19€
            4119,69€</v>
      </c>
      <c r="O12" s="12" t="str">
        <f>"+" &amp; ROUND($C12*Tab_ERA35[[#Headers],[7%]],2) &amp; "€
            " &amp; ROUND($C12*(1+Tab_ERA35[[#Headers],[7%]]),2) &amp; "€"</f>
        <v>+272,06€
            4158,56€</v>
      </c>
      <c r="P12" s="12" t="str">
        <f>"+" &amp; ROUND($C12*Tab_ERA35[[#Headers],[7%]],2) &amp; "€
            " &amp; ROUND($C12*(1+Tab_ERA35[[#Headers],[7%]]),2) &amp; "€"</f>
        <v>+272,06€
            4158,56€</v>
      </c>
      <c r="Q12" s="12" t="str">
        <f>"+" &amp; ROUND($C12*Tab_ERA35[[#Headers],[8%]],2) &amp; "€
            " &amp; ROUND($C12*(1+Tab_ERA35[[#Headers],[8%]]),2) &amp; "€"</f>
        <v>+310,92€
            4197,42€</v>
      </c>
      <c r="R12" s="12" t="str">
        <f>"+" &amp; ROUND($C12*Tab_ERA35[[#Headers],[8%]],2) &amp; "€
            " &amp; ROUND($C12*(1+Tab_ERA35[[#Headers],[8%]]),2) &amp; "€"</f>
        <v>+310,92€
            4197,42€</v>
      </c>
      <c r="S12" s="12" t="str">
        <f>"+" &amp; ROUND($C12*Tab_ERA35[[#Headers],[9%]],2) &amp; "€
            " &amp; ROUND($C12*(1+Tab_ERA35[[#Headers],[9%]]),2) &amp; "€"</f>
        <v>+349,79€
            4236,29€</v>
      </c>
      <c r="T12" s="12" t="str">
        <f>"+" &amp; ROUND($C12*Tab_ERA35[[#Headers],[9%]],2) &amp; "€
            " &amp; ROUND($C12*(1+Tab_ERA35[[#Headers],[9%]]),2) &amp; "€"</f>
        <v>+349,79€
            4236,29€</v>
      </c>
      <c r="U12" s="12" t="str">
        <f>"+" &amp; ROUND($C12*Tab_ERA35[[#Headers],[10%]],2) &amp; "€
            " &amp; ROUND($C12*(1+Tab_ERA35[[#Headers],[10%]]),2) &amp; "€"</f>
        <v>+388,65€
            4275,15€</v>
      </c>
      <c r="V12" s="12" t="str">
        <f>"+" &amp; ROUND($C12*Tab_ERA35[[#Headers],[10%]],2) &amp; "€
            " &amp; ROUND($C12*(1+Tab_ERA35[[#Headers],[10%]]),2) &amp; "€"</f>
        <v>+388,65€
            4275,15€</v>
      </c>
      <c r="W12" s="12" t="str">
        <f>"+" &amp; ROUND($C12*Tab_ERA35[[#Headers],[11%]],2) &amp; "€
            " &amp; ROUND($C12*(1+Tab_ERA35[[#Headers],[11%]]),2) &amp; "€"</f>
        <v>+427,52€
            4314,02€</v>
      </c>
      <c r="X12" s="12" t="str">
        <f>"+" &amp; ROUND($C12*Tab_ERA35[[#Headers],[11%]],2) &amp; "€
            " &amp; ROUND($C12*(1+Tab_ERA35[[#Headers],[11%]]),2) &amp; "€"</f>
        <v>+427,52€
            4314,02€</v>
      </c>
      <c r="Y12" s="12" t="str">
        <f>"+" &amp; ROUND($C12*Tab_ERA35[[#Headers],[12%]],2) &amp; "€
            " &amp; ROUND($C12*(1+Tab_ERA35[[#Headers],[12%]]),2) &amp; "€"</f>
        <v>+466,38€
            4352,88€</v>
      </c>
      <c r="Z12" s="12" t="str">
        <f>"+" &amp; ROUND($C12*Tab_ERA35[[#Headers],[12%]],2) &amp; "€
            " &amp; ROUND($C12*(1+Tab_ERA35[[#Headers],[12%]]),2) &amp; "€"</f>
        <v>+466,38€
            4352,88€</v>
      </c>
      <c r="AA12" s="12" t="str">
        <f>"+" &amp; ROUND($C12*Tab_ERA35[[#Headers],[13%]],2) &amp; "€
            " &amp; ROUND($C12*(1+Tab_ERA35[[#Headers],[13%]]),2) &amp; "€"</f>
        <v>+505,25€
            4391,75€</v>
      </c>
      <c r="AB12" s="12" t="str">
        <f>"+" &amp; ROUND($C12*Tab_ERA35[[#Headers],[13%]],2) &amp; "€
            " &amp; ROUND($C12*(1+Tab_ERA35[[#Headers],[13%]]),2) &amp; "€"</f>
        <v>+505,25€
            4391,75€</v>
      </c>
      <c r="AC12" s="12" t="str">
        <f>"+" &amp; ROUND($C12*Tab_ERA35[[#Headers],[14%]],2) &amp; "€
            " &amp; ROUND($C12*(1+Tab_ERA35[[#Headers],[14%]]),2) &amp; "€"</f>
        <v>+544,11€
            4430,61€</v>
      </c>
      <c r="AD12" s="12" t="str">
        <f>"+" &amp; ROUND($C12*Tab_ERA35[[#Headers],[14%]],2) &amp; "€
            " &amp; ROUND($C12*(1+Tab_ERA35[[#Headers],[14%]]),2) &amp; "€"</f>
        <v>+544,11€
            4430,61€</v>
      </c>
      <c r="AE12" s="12" t="str">
        <f>"+" &amp; ROUND($C12*Tab_ERA35[[#Headers],[15%]],2) &amp; "€
            " &amp; ROUND($C12*(1+Tab_ERA35[[#Headers],[15%]]),2) &amp; "€"</f>
        <v>+582,98€
            4469,48€</v>
      </c>
      <c r="AF12" s="12" t="str">
        <f>"+" &amp; ROUND($C12*Tab_ERA35[[#Headers],[15%]],2) &amp; "€
            " &amp; ROUND($C12*(1+Tab_ERA35[[#Headers],[15%]]),2) &amp; "€"</f>
        <v>+582,98€
            4469,48€</v>
      </c>
      <c r="AG12" s="12" t="str">
        <f>"+" &amp; ROUND($C12*Tab_ERA35[[#Headers],[16%]],2) &amp; "€
            " &amp; ROUND($C12*(1+Tab_ERA35[[#Headers],[16%]]),2) &amp; "€"</f>
        <v>+621,84€
            4508,34€</v>
      </c>
    </row>
    <row r="13" spans="1:33" ht="41.4" x14ac:dyDescent="0.3">
      <c r="A13" s="4" t="s">
        <v>78</v>
      </c>
      <c r="B13" s="5">
        <v>1.2150000000000001</v>
      </c>
      <c r="C13" s="6">
        <f>MROUND($C$10*Tab_ERA35[[#This Row],[Entgelt-
gruppen-
schlüssel]],0.5)</f>
        <v>4142</v>
      </c>
      <c r="D13" s="12" t="str">
        <f>"+" &amp; ROUND($C13*Tab_ERA35[[#Headers],[1%]],2) &amp; "€
            " &amp; ROUND($C13*(1+Tab_ERA35[[#Headers],[1%]]),2) &amp; "€"</f>
        <v>+41,42€
            4183,42€</v>
      </c>
      <c r="E13" s="12" t="str">
        <f>"+" &amp; ROUND($C13*Tab_ERA35[[#Headers],[2%]],2) &amp; "€
            " &amp; ROUND($C13*(1+Tab_ERA35[[#Headers],[2%]]),2) &amp; "€"</f>
        <v>+82,84€
            4224,84€</v>
      </c>
      <c r="F13" s="12" t="str">
        <f>"+" &amp; ROUND($C13*Tab_ERA35[[#Headers],[2%]],2) &amp; "€
            " &amp; ROUND($C13*(1+Tab_ERA35[[#Headers],[2%]]),2) &amp; "€"</f>
        <v>+82,84€
            4224,84€</v>
      </c>
      <c r="G13" s="12" t="str">
        <f>"+" &amp; ROUND($C13*Tab_ERA35[[#Headers],[3%]],2) &amp; "€
            " &amp; ROUND($C13*(1+Tab_ERA35[[#Headers],[3%]]),2) &amp; "€"</f>
        <v>+124,26€
            4266,26€</v>
      </c>
      <c r="H13" s="12" t="str">
        <f>"+" &amp; ROUND($C13*Tab_ERA35[[#Headers],[3%]],2) &amp; "€
            " &amp; ROUND($C13*(1+Tab_ERA35[[#Headers],[3%]]),2) &amp; "€"</f>
        <v>+124,26€
            4266,26€</v>
      </c>
      <c r="I13" s="12" t="str">
        <f>"+" &amp; ROUND($C13*Tab_ERA35[[#Headers],[4%]],2) &amp; "€
            " &amp; ROUND($C13*(1+Tab_ERA35[[#Headers],[4%]]),2) &amp; "€"</f>
        <v>+165,68€
            4307,68€</v>
      </c>
      <c r="J13" s="12" t="str">
        <f>"+" &amp; ROUND($C13*Tab_ERA35[[#Headers],[4%]],2) &amp; "€
            " &amp; ROUND($C13*(1+Tab_ERA35[[#Headers],[4%]]),2) &amp; "€"</f>
        <v>+165,68€
            4307,68€</v>
      </c>
      <c r="K13" s="12" t="str">
        <f>"+" &amp; ROUND($C13*Tab_ERA35[[#Headers],[5%]],2) &amp; "€
            " &amp; ROUND($C13*(1+Tab_ERA35[[#Headers],[5%]]),2) &amp; "€"</f>
        <v>+207,1€
            4349,1€</v>
      </c>
      <c r="L13" s="12" t="str">
        <f>"+" &amp; ROUND($C13*Tab_ERA35[[#Headers],[5%]],2) &amp; "€
            " &amp; ROUND($C13*(1+Tab_ERA35[[#Headers],[5%]]),2) &amp; "€"</f>
        <v>+207,1€
            4349,1€</v>
      </c>
      <c r="M13" s="12" t="str">
        <f>"+" &amp; ROUND($C13*Tab_ERA35[[#Headers],[6%]],2) &amp; "€
            " &amp; ROUND($C13*(1+Tab_ERA35[[#Headers],[6%]]),2) &amp; "€"</f>
        <v>+248,52€
            4390,52€</v>
      </c>
      <c r="N13" s="12" t="str">
        <f>"+" &amp; ROUND($C13*Tab_ERA35[[#Headers],[6%]],2) &amp; "€
            " &amp; ROUND($C13*(1+Tab_ERA35[[#Headers],[6%]]),2) &amp; "€"</f>
        <v>+248,52€
            4390,52€</v>
      </c>
      <c r="O13" s="12" t="str">
        <f>"+" &amp; ROUND($C13*Tab_ERA35[[#Headers],[7%]],2) &amp; "€
            " &amp; ROUND($C13*(1+Tab_ERA35[[#Headers],[7%]]),2) &amp; "€"</f>
        <v>+289,94€
            4431,94€</v>
      </c>
      <c r="P13" s="12" t="str">
        <f>"+" &amp; ROUND($C13*Tab_ERA35[[#Headers],[7%]],2) &amp; "€
            " &amp; ROUND($C13*(1+Tab_ERA35[[#Headers],[7%]]),2) &amp; "€"</f>
        <v>+289,94€
            4431,94€</v>
      </c>
      <c r="Q13" s="12" t="str">
        <f>"+" &amp; ROUND($C13*Tab_ERA35[[#Headers],[8%]],2) &amp; "€
            " &amp; ROUND($C13*(1+Tab_ERA35[[#Headers],[8%]]),2) &amp; "€"</f>
        <v>+331,36€
            4473,36€</v>
      </c>
      <c r="R13" s="12" t="str">
        <f>"+" &amp; ROUND($C13*Tab_ERA35[[#Headers],[8%]],2) &amp; "€
            " &amp; ROUND($C13*(1+Tab_ERA35[[#Headers],[8%]]),2) &amp; "€"</f>
        <v>+331,36€
            4473,36€</v>
      </c>
      <c r="S13" s="12" t="str">
        <f>"+" &amp; ROUND($C13*Tab_ERA35[[#Headers],[9%]],2) &amp; "€
            " &amp; ROUND($C13*(1+Tab_ERA35[[#Headers],[9%]]),2) &amp; "€"</f>
        <v>+372,78€
            4514,78€</v>
      </c>
      <c r="T13" s="12" t="str">
        <f>"+" &amp; ROUND($C13*Tab_ERA35[[#Headers],[9%]],2) &amp; "€
            " &amp; ROUND($C13*(1+Tab_ERA35[[#Headers],[9%]]),2) &amp; "€"</f>
        <v>+372,78€
            4514,78€</v>
      </c>
      <c r="U13" s="12" t="str">
        <f>"+" &amp; ROUND($C13*Tab_ERA35[[#Headers],[10%]],2) &amp; "€
            " &amp; ROUND($C13*(1+Tab_ERA35[[#Headers],[10%]]),2) &amp; "€"</f>
        <v>+414,2€
            4556,2€</v>
      </c>
      <c r="V13" s="12" t="str">
        <f>"+" &amp; ROUND($C13*Tab_ERA35[[#Headers],[10%]],2) &amp; "€
            " &amp; ROUND($C13*(1+Tab_ERA35[[#Headers],[10%]]),2) &amp; "€"</f>
        <v>+414,2€
            4556,2€</v>
      </c>
      <c r="W13" s="12" t="str">
        <f>"+" &amp; ROUND($C13*Tab_ERA35[[#Headers],[11%]],2) &amp; "€
            " &amp; ROUND($C13*(1+Tab_ERA35[[#Headers],[11%]]),2) &amp; "€"</f>
        <v>+455,62€
            4597,62€</v>
      </c>
      <c r="X13" s="12" t="str">
        <f>"+" &amp; ROUND($C13*Tab_ERA35[[#Headers],[11%]],2) &amp; "€
            " &amp; ROUND($C13*(1+Tab_ERA35[[#Headers],[11%]]),2) &amp; "€"</f>
        <v>+455,62€
            4597,62€</v>
      </c>
      <c r="Y13" s="12" t="str">
        <f>"+" &amp; ROUND($C13*Tab_ERA35[[#Headers],[12%]],2) &amp; "€
            " &amp; ROUND($C13*(1+Tab_ERA35[[#Headers],[12%]]),2) &amp; "€"</f>
        <v>+497,04€
            4639,04€</v>
      </c>
      <c r="Z13" s="12" t="str">
        <f>"+" &amp; ROUND($C13*Tab_ERA35[[#Headers],[12%]],2) &amp; "€
            " &amp; ROUND($C13*(1+Tab_ERA35[[#Headers],[12%]]),2) &amp; "€"</f>
        <v>+497,04€
            4639,04€</v>
      </c>
      <c r="AA13" s="12" t="str">
        <f>"+" &amp; ROUND($C13*Tab_ERA35[[#Headers],[13%]],2) &amp; "€
            " &amp; ROUND($C13*(1+Tab_ERA35[[#Headers],[13%]]),2) &amp; "€"</f>
        <v>+538,46€
            4680,46€</v>
      </c>
      <c r="AB13" s="12" t="str">
        <f>"+" &amp; ROUND($C13*Tab_ERA35[[#Headers],[13%]],2) &amp; "€
            " &amp; ROUND($C13*(1+Tab_ERA35[[#Headers],[13%]]),2) &amp; "€"</f>
        <v>+538,46€
            4680,46€</v>
      </c>
      <c r="AC13" s="12" t="str">
        <f>"+" &amp; ROUND($C13*Tab_ERA35[[#Headers],[14%]],2) &amp; "€
            " &amp; ROUND($C13*(1+Tab_ERA35[[#Headers],[14%]]),2) &amp; "€"</f>
        <v>+579,88€
            4721,88€</v>
      </c>
      <c r="AD13" s="12" t="str">
        <f>"+" &amp; ROUND($C13*Tab_ERA35[[#Headers],[14%]],2) &amp; "€
            " &amp; ROUND($C13*(1+Tab_ERA35[[#Headers],[14%]]),2) &amp; "€"</f>
        <v>+579,88€
            4721,88€</v>
      </c>
      <c r="AE13" s="12" t="str">
        <f>"+" &amp; ROUND($C13*Tab_ERA35[[#Headers],[15%]],2) &amp; "€
            " &amp; ROUND($C13*(1+Tab_ERA35[[#Headers],[15%]]),2) &amp; "€"</f>
        <v>+621,3€
            4763,3€</v>
      </c>
      <c r="AF13" s="12" t="str">
        <f>"+" &amp; ROUND($C13*Tab_ERA35[[#Headers],[15%]],2) &amp; "€
            " &amp; ROUND($C13*(1+Tab_ERA35[[#Headers],[15%]]),2) &amp; "€"</f>
        <v>+621,3€
            4763,3€</v>
      </c>
      <c r="AG13" s="12" t="str">
        <f>"+" &amp; ROUND($C13*Tab_ERA35[[#Headers],[16%]],2) &amp; "€
            " &amp; ROUND($C13*(1+Tab_ERA35[[#Headers],[16%]]),2) &amp; "€"</f>
        <v>+662,72€
            4804,72€</v>
      </c>
    </row>
    <row r="14" spans="1:33" ht="41.4" x14ac:dyDescent="0.3">
      <c r="A14" s="4" t="s">
        <v>79</v>
      </c>
      <c r="B14" s="5">
        <v>1.2949999999999999</v>
      </c>
      <c r="C14" s="6">
        <f>MROUND($C$10*Tab_ERA35[[#This Row],[Entgelt-
gruppen-
schlüssel]],0.5)</f>
        <v>4414.5</v>
      </c>
      <c r="D14" s="12" t="str">
        <f>"+" &amp; ROUND($C14*Tab_ERA35[[#Headers],[1%]],2) &amp; "€
            " &amp; ROUND($C14*(1+Tab_ERA35[[#Headers],[1%]]),2) &amp; "€"</f>
        <v>+44,15€
            4458,65€</v>
      </c>
      <c r="E14" s="12" t="str">
        <f>"+" &amp; ROUND($C14*Tab_ERA35[[#Headers],[2%]],2) &amp; "€
            " &amp; ROUND($C14*(1+Tab_ERA35[[#Headers],[2%]]),2) &amp; "€"</f>
        <v>+88,29€
            4502,79€</v>
      </c>
      <c r="F14" s="12" t="str">
        <f>"+" &amp; ROUND($C14*Tab_ERA35[[#Headers],[2%]],2) &amp; "€
            " &amp; ROUND($C14*(1+Tab_ERA35[[#Headers],[2%]]),2) &amp; "€"</f>
        <v>+88,29€
            4502,79€</v>
      </c>
      <c r="G14" s="12" t="str">
        <f>"+" &amp; ROUND($C14*Tab_ERA35[[#Headers],[3%]],2) &amp; "€
            " &amp; ROUND($C14*(1+Tab_ERA35[[#Headers],[3%]]),2) &amp; "€"</f>
        <v>+132,44€
            4546,94€</v>
      </c>
      <c r="H14" s="12" t="str">
        <f>"+" &amp; ROUND($C14*Tab_ERA35[[#Headers],[3%]],2) &amp; "€
            " &amp; ROUND($C14*(1+Tab_ERA35[[#Headers],[3%]]),2) &amp; "€"</f>
        <v>+132,44€
            4546,94€</v>
      </c>
      <c r="I14" s="12" t="str">
        <f>"+" &amp; ROUND($C14*Tab_ERA35[[#Headers],[4%]],2) &amp; "€
            " &amp; ROUND($C14*(1+Tab_ERA35[[#Headers],[4%]]),2) &amp; "€"</f>
        <v>+176,58€
            4591,08€</v>
      </c>
      <c r="J14" s="12" t="str">
        <f>"+" &amp; ROUND($C14*Tab_ERA35[[#Headers],[4%]],2) &amp; "€
            " &amp; ROUND($C14*(1+Tab_ERA35[[#Headers],[4%]]),2) &amp; "€"</f>
        <v>+176,58€
            4591,08€</v>
      </c>
      <c r="K14" s="12" t="str">
        <f>"+" &amp; ROUND($C14*Tab_ERA35[[#Headers],[5%]],2) &amp; "€
            " &amp; ROUND($C14*(1+Tab_ERA35[[#Headers],[5%]]),2) &amp; "€"</f>
        <v>+220,73€
            4635,23€</v>
      </c>
      <c r="L14" s="12" t="str">
        <f>"+" &amp; ROUND($C14*Tab_ERA35[[#Headers],[5%]],2) &amp; "€
            " &amp; ROUND($C14*(1+Tab_ERA35[[#Headers],[5%]]),2) &amp; "€"</f>
        <v>+220,73€
            4635,23€</v>
      </c>
      <c r="M14" s="12" t="str">
        <f>"+" &amp; ROUND($C14*Tab_ERA35[[#Headers],[6%]],2) &amp; "€
            " &amp; ROUND($C14*(1+Tab_ERA35[[#Headers],[6%]]),2) &amp; "€"</f>
        <v>+264,87€
            4679,37€</v>
      </c>
      <c r="N14" s="12" t="str">
        <f>"+" &amp; ROUND($C14*Tab_ERA35[[#Headers],[6%]],2) &amp; "€
            " &amp; ROUND($C14*(1+Tab_ERA35[[#Headers],[6%]]),2) &amp; "€"</f>
        <v>+264,87€
            4679,37€</v>
      </c>
      <c r="O14" s="12" t="str">
        <f>"+" &amp; ROUND($C14*Tab_ERA35[[#Headers],[7%]],2) &amp; "€
            " &amp; ROUND($C14*(1+Tab_ERA35[[#Headers],[7%]]),2) &amp; "€"</f>
        <v>+309,02€
            4723,52€</v>
      </c>
      <c r="P14" s="12" t="str">
        <f>"+" &amp; ROUND($C14*Tab_ERA35[[#Headers],[7%]],2) &amp; "€
            " &amp; ROUND($C14*(1+Tab_ERA35[[#Headers],[7%]]),2) &amp; "€"</f>
        <v>+309,02€
            4723,52€</v>
      </c>
      <c r="Q14" s="12" t="str">
        <f>"+" &amp; ROUND($C14*Tab_ERA35[[#Headers],[8%]],2) &amp; "€
            " &amp; ROUND($C14*(1+Tab_ERA35[[#Headers],[8%]]),2) &amp; "€"</f>
        <v>+353,16€
            4767,66€</v>
      </c>
      <c r="R14" s="12" t="str">
        <f>"+" &amp; ROUND($C14*Tab_ERA35[[#Headers],[8%]],2) &amp; "€
            " &amp; ROUND($C14*(1+Tab_ERA35[[#Headers],[8%]]),2) &amp; "€"</f>
        <v>+353,16€
            4767,66€</v>
      </c>
      <c r="S14" s="12" t="str">
        <f>"+" &amp; ROUND($C14*Tab_ERA35[[#Headers],[9%]],2) &amp; "€
            " &amp; ROUND($C14*(1+Tab_ERA35[[#Headers],[9%]]),2) &amp; "€"</f>
        <v>+397,31€
            4811,81€</v>
      </c>
      <c r="T14" s="12" t="str">
        <f>"+" &amp; ROUND($C14*Tab_ERA35[[#Headers],[9%]],2) &amp; "€
            " &amp; ROUND($C14*(1+Tab_ERA35[[#Headers],[9%]]),2) &amp; "€"</f>
        <v>+397,31€
            4811,81€</v>
      </c>
      <c r="U14" s="12" t="str">
        <f>"+" &amp; ROUND($C14*Tab_ERA35[[#Headers],[10%]],2) &amp; "€
            " &amp; ROUND($C14*(1+Tab_ERA35[[#Headers],[10%]]),2) &amp; "€"</f>
        <v>+441,45€
            4855,95€</v>
      </c>
      <c r="V14" s="12" t="str">
        <f>"+" &amp; ROUND($C14*Tab_ERA35[[#Headers],[10%]],2) &amp; "€
            " &amp; ROUND($C14*(1+Tab_ERA35[[#Headers],[10%]]),2) &amp; "€"</f>
        <v>+441,45€
            4855,95€</v>
      </c>
      <c r="W14" s="12" t="str">
        <f>"+" &amp; ROUND($C14*Tab_ERA35[[#Headers],[11%]],2) &amp; "€
            " &amp; ROUND($C14*(1+Tab_ERA35[[#Headers],[11%]]),2) &amp; "€"</f>
        <v>+485,6€
            4900,1€</v>
      </c>
      <c r="X14" s="12" t="str">
        <f>"+" &amp; ROUND($C14*Tab_ERA35[[#Headers],[11%]],2) &amp; "€
            " &amp; ROUND($C14*(1+Tab_ERA35[[#Headers],[11%]]),2) &amp; "€"</f>
        <v>+485,6€
            4900,1€</v>
      </c>
      <c r="Y14" s="12" t="str">
        <f>"+" &amp; ROUND($C14*Tab_ERA35[[#Headers],[12%]],2) &amp; "€
            " &amp; ROUND($C14*(1+Tab_ERA35[[#Headers],[12%]]),2) &amp; "€"</f>
        <v>+529,74€
            4944,24€</v>
      </c>
      <c r="Z14" s="12" t="str">
        <f>"+" &amp; ROUND($C14*Tab_ERA35[[#Headers],[12%]],2) &amp; "€
            " &amp; ROUND($C14*(1+Tab_ERA35[[#Headers],[12%]]),2) &amp; "€"</f>
        <v>+529,74€
            4944,24€</v>
      </c>
      <c r="AA14" s="12" t="str">
        <f>"+" &amp; ROUND($C14*Tab_ERA35[[#Headers],[13%]],2) &amp; "€
            " &amp; ROUND($C14*(1+Tab_ERA35[[#Headers],[13%]]),2) &amp; "€"</f>
        <v>+573,89€
            4988,39€</v>
      </c>
      <c r="AB14" s="12" t="str">
        <f>"+" &amp; ROUND($C14*Tab_ERA35[[#Headers],[13%]],2) &amp; "€
            " &amp; ROUND($C14*(1+Tab_ERA35[[#Headers],[13%]]),2) &amp; "€"</f>
        <v>+573,89€
            4988,39€</v>
      </c>
      <c r="AC14" s="12" t="str">
        <f>"+" &amp; ROUND($C14*Tab_ERA35[[#Headers],[14%]],2) &amp; "€
            " &amp; ROUND($C14*(1+Tab_ERA35[[#Headers],[14%]]),2) &amp; "€"</f>
        <v>+618,03€
            5032,53€</v>
      </c>
      <c r="AD14" s="12" t="str">
        <f>"+" &amp; ROUND($C14*Tab_ERA35[[#Headers],[14%]],2) &amp; "€
            " &amp; ROUND($C14*(1+Tab_ERA35[[#Headers],[14%]]),2) &amp; "€"</f>
        <v>+618,03€
            5032,53€</v>
      </c>
      <c r="AE14" s="12" t="str">
        <f>"+" &amp; ROUND($C14*Tab_ERA35[[#Headers],[15%]],2) &amp; "€
            " &amp; ROUND($C14*(1+Tab_ERA35[[#Headers],[15%]]),2) &amp; "€"</f>
        <v>+662,18€
            5076,68€</v>
      </c>
      <c r="AF14" s="12" t="str">
        <f>"+" &amp; ROUND($C14*Tab_ERA35[[#Headers],[15%]],2) &amp; "€
            " &amp; ROUND($C14*(1+Tab_ERA35[[#Headers],[15%]]),2) &amp; "€"</f>
        <v>+662,18€
            5076,68€</v>
      </c>
      <c r="AG14" s="12" t="str">
        <f>"+" &amp; ROUND($C14*Tab_ERA35[[#Headers],[16%]],2) &amp; "€
            " &amp; ROUND($C14*(1+Tab_ERA35[[#Headers],[16%]]),2) &amp; "€"</f>
        <v>+706,32€
            5120,82€</v>
      </c>
    </row>
    <row r="15" spans="1:33" ht="41.4" x14ac:dyDescent="0.3">
      <c r="A15" s="4" t="s">
        <v>80</v>
      </c>
      <c r="B15" s="5">
        <v>1.385</v>
      </c>
      <c r="C15" s="6">
        <f>MROUND($C$10*Tab_ERA35[[#This Row],[Entgelt-
gruppen-
schlüssel]],0.5)</f>
        <v>4721.5</v>
      </c>
      <c r="D15" s="12" t="str">
        <f>"+" &amp; ROUND($C15*Tab_ERA35[[#Headers],[1%]],2) &amp; "€
            " &amp; ROUND($C15*(1+Tab_ERA35[[#Headers],[1%]]),2) &amp; "€"</f>
        <v>+47,22€
            4768,72€</v>
      </c>
      <c r="E15" s="12" t="str">
        <f>"+" &amp; ROUND($C15*Tab_ERA35[[#Headers],[2%]],2) &amp; "€
            " &amp; ROUND($C15*(1+Tab_ERA35[[#Headers],[2%]]),2) &amp; "€"</f>
        <v>+94,43€
            4815,93€</v>
      </c>
      <c r="F15" s="12" t="str">
        <f>"+" &amp; ROUND($C15*Tab_ERA35[[#Headers],[2%]],2) &amp; "€
            " &amp; ROUND($C15*(1+Tab_ERA35[[#Headers],[2%]]),2) &amp; "€"</f>
        <v>+94,43€
            4815,93€</v>
      </c>
      <c r="G15" s="12" t="str">
        <f>"+" &amp; ROUND($C15*Tab_ERA35[[#Headers],[3%]],2) &amp; "€
            " &amp; ROUND($C15*(1+Tab_ERA35[[#Headers],[3%]]),2) &amp; "€"</f>
        <v>+141,65€
            4863,15€</v>
      </c>
      <c r="H15" s="12" t="str">
        <f>"+" &amp; ROUND($C15*Tab_ERA35[[#Headers],[3%]],2) &amp; "€
            " &amp; ROUND($C15*(1+Tab_ERA35[[#Headers],[3%]]),2) &amp; "€"</f>
        <v>+141,65€
            4863,15€</v>
      </c>
      <c r="I15" s="12" t="str">
        <f>"+" &amp; ROUND($C15*Tab_ERA35[[#Headers],[4%]],2) &amp; "€
            " &amp; ROUND($C15*(1+Tab_ERA35[[#Headers],[4%]]),2) &amp; "€"</f>
        <v>+188,86€
            4910,36€</v>
      </c>
      <c r="J15" s="12" t="str">
        <f>"+" &amp; ROUND($C15*Tab_ERA35[[#Headers],[4%]],2) &amp; "€
            " &amp; ROUND($C15*(1+Tab_ERA35[[#Headers],[4%]]),2) &amp; "€"</f>
        <v>+188,86€
            4910,36€</v>
      </c>
      <c r="K15" s="12" t="str">
        <f>"+" &amp; ROUND($C15*Tab_ERA35[[#Headers],[5%]],2) &amp; "€
            " &amp; ROUND($C15*(1+Tab_ERA35[[#Headers],[5%]]),2) &amp; "€"</f>
        <v>+236,08€
            4957,58€</v>
      </c>
      <c r="L15" s="12" t="str">
        <f>"+" &amp; ROUND($C15*Tab_ERA35[[#Headers],[5%]],2) &amp; "€
            " &amp; ROUND($C15*(1+Tab_ERA35[[#Headers],[5%]]),2) &amp; "€"</f>
        <v>+236,08€
            4957,58€</v>
      </c>
      <c r="M15" s="12" t="str">
        <f>"+" &amp; ROUND($C15*Tab_ERA35[[#Headers],[6%]],2) &amp; "€
            " &amp; ROUND($C15*(1+Tab_ERA35[[#Headers],[6%]]),2) &amp; "€"</f>
        <v>+283,29€
            5004,79€</v>
      </c>
      <c r="N15" s="12" t="str">
        <f>"+" &amp; ROUND($C15*Tab_ERA35[[#Headers],[6%]],2) &amp; "€
            " &amp; ROUND($C15*(1+Tab_ERA35[[#Headers],[6%]]),2) &amp; "€"</f>
        <v>+283,29€
            5004,79€</v>
      </c>
      <c r="O15" s="12" t="str">
        <f>"+" &amp; ROUND($C15*Tab_ERA35[[#Headers],[7%]],2) &amp; "€
            " &amp; ROUND($C15*(1+Tab_ERA35[[#Headers],[7%]]),2) &amp; "€"</f>
        <v>+330,51€
            5052,01€</v>
      </c>
      <c r="P15" s="12" t="str">
        <f>"+" &amp; ROUND($C15*Tab_ERA35[[#Headers],[7%]],2) &amp; "€
            " &amp; ROUND($C15*(1+Tab_ERA35[[#Headers],[7%]]),2) &amp; "€"</f>
        <v>+330,51€
            5052,01€</v>
      </c>
      <c r="Q15" s="12" t="str">
        <f>"+" &amp; ROUND($C15*Tab_ERA35[[#Headers],[8%]],2) &amp; "€
            " &amp; ROUND($C15*(1+Tab_ERA35[[#Headers],[8%]]),2) &amp; "€"</f>
        <v>+377,72€
            5099,22€</v>
      </c>
      <c r="R15" s="12" t="str">
        <f>"+" &amp; ROUND($C15*Tab_ERA35[[#Headers],[8%]],2) &amp; "€
            " &amp; ROUND($C15*(1+Tab_ERA35[[#Headers],[8%]]),2) &amp; "€"</f>
        <v>+377,72€
            5099,22€</v>
      </c>
      <c r="S15" s="12" t="str">
        <f>"+" &amp; ROUND($C15*Tab_ERA35[[#Headers],[9%]],2) &amp; "€
            " &amp; ROUND($C15*(1+Tab_ERA35[[#Headers],[9%]]),2) &amp; "€"</f>
        <v>+424,94€
            5146,44€</v>
      </c>
      <c r="T15" s="12" t="str">
        <f>"+" &amp; ROUND($C15*Tab_ERA35[[#Headers],[9%]],2) &amp; "€
            " &amp; ROUND($C15*(1+Tab_ERA35[[#Headers],[9%]]),2) &amp; "€"</f>
        <v>+424,94€
            5146,44€</v>
      </c>
      <c r="U15" s="12" t="str">
        <f>"+" &amp; ROUND($C15*Tab_ERA35[[#Headers],[10%]],2) &amp; "€
            " &amp; ROUND($C15*(1+Tab_ERA35[[#Headers],[10%]]),2) &amp; "€"</f>
        <v>+472,15€
            5193,65€</v>
      </c>
      <c r="V15" s="12" t="str">
        <f>"+" &amp; ROUND($C15*Tab_ERA35[[#Headers],[10%]],2) &amp; "€
            " &amp; ROUND($C15*(1+Tab_ERA35[[#Headers],[10%]]),2) &amp; "€"</f>
        <v>+472,15€
            5193,65€</v>
      </c>
      <c r="W15" s="12" t="str">
        <f>"+" &amp; ROUND($C15*Tab_ERA35[[#Headers],[11%]],2) &amp; "€
            " &amp; ROUND($C15*(1+Tab_ERA35[[#Headers],[11%]]),2) &amp; "€"</f>
        <v>+519,37€
            5240,87€</v>
      </c>
      <c r="X15" s="12" t="str">
        <f>"+" &amp; ROUND($C15*Tab_ERA35[[#Headers],[11%]],2) &amp; "€
            " &amp; ROUND($C15*(1+Tab_ERA35[[#Headers],[11%]]),2) &amp; "€"</f>
        <v>+519,37€
            5240,87€</v>
      </c>
      <c r="Y15" s="12" t="str">
        <f>"+" &amp; ROUND($C15*Tab_ERA35[[#Headers],[12%]],2) &amp; "€
            " &amp; ROUND($C15*(1+Tab_ERA35[[#Headers],[12%]]),2) &amp; "€"</f>
        <v>+566,58€
            5288,08€</v>
      </c>
      <c r="Z15" s="12" t="str">
        <f>"+" &amp; ROUND($C15*Tab_ERA35[[#Headers],[12%]],2) &amp; "€
            " &amp; ROUND($C15*(1+Tab_ERA35[[#Headers],[12%]]),2) &amp; "€"</f>
        <v>+566,58€
            5288,08€</v>
      </c>
      <c r="AA15" s="12" t="str">
        <f>"+" &amp; ROUND($C15*Tab_ERA35[[#Headers],[13%]],2) &amp; "€
            " &amp; ROUND($C15*(1+Tab_ERA35[[#Headers],[13%]]),2) &amp; "€"</f>
        <v>+613,8€
            5335,3€</v>
      </c>
      <c r="AB15" s="12" t="str">
        <f>"+" &amp; ROUND($C15*Tab_ERA35[[#Headers],[13%]],2) &amp; "€
            " &amp; ROUND($C15*(1+Tab_ERA35[[#Headers],[13%]]),2) &amp; "€"</f>
        <v>+613,8€
            5335,3€</v>
      </c>
      <c r="AC15" s="12" t="str">
        <f>"+" &amp; ROUND($C15*Tab_ERA35[[#Headers],[14%]],2) &amp; "€
            " &amp; ROUND($C15*(1+Tab_ERA35[[#Headers],[14%]]),2) &amp; "€"</f>
        <v>+661,01€
            5382,51€</v>
      </c>
      <c r="AD15" s="12" t="str">
        <f>"+" &amp; ROUND($C15*Tab_ERA35[[#Headers],[14%]],2) &amp; "€
            " &amp; ROUND($C15*(1+Tab_ERA35[[#Headers],[14%]]),2) &amp; "€"</f>
        <v>+661,01€
            5382,51€</v>
      </c>
      <c r="AE15" s="12" t="str">
        <f>"+" &amp; ROUND($C15*Tab_ERA35[[#Headers],[15%]],2) &amp; "€
            " &amp; ROUND($C15*(1+Tab_ERA35[[#Headers],[15%]]),2) &amp; "€"</f>
        <v>+708,23€
            5429,73€</v>
      </c>
      <c r="AF15" s="12" t="str">
        <f>"+" &amp; ROUND($C15*Tab_ERA35[[#Headers],[15%]],2) &amp; "€
            " &amp; ROUND($C15*(1+Tab_ERA35[[#Headers],[15%]]),2) &amp; "€"</f>
        <v>+708,23€
            5429,73€</v>
      </c>
      <c r="AG15" s="12" t="str">
        <f>"+" &amp; ROUND($C15*Tab_ERA35[[#Headers],[16%]],2) &amp; "€
            " &amp; ROUND($C15*(1+Tab_ERA35[[#Headers],[16%]]),2) &amp; "€"</f>
        <v>+755,44€
            5476,94€</v>
      </c>
    </row>
    <row r="16" spans="1:33" ht="41.4" x14ac:dyDescent="0.3">
      <c r="A16" s="4" t="s">
        <v>81</v>
      </c>
      <c r="B16" s="5">
        <v>1.4750000000000001</v>
      </c>
      <c r="C16" s="6">
        <f>MROUND($C$10*Tab_ERA35[[#This Row],[Entgelt-
gruppen-
schlüssel]],0.5)</f>
        <v>5028.5</v>
      </c>
      <c r="D16" s="12" t="str">
        <f>"+" &amp; ROUND($C16*Tab_ERA35[[#Headers],[1%]],2) &amp; "€
            " &amp; ROUND($C16*(1+Tab_ERA35[[#Headers],[1%]]),2) &amp; "€"</f>
        <v>+50,29€
            5078,79€</v>
      </c>
      <c r="E16" s="12" t="str">
        <f>"+" &amp; ROUND($C16*Tab_ERA35[[#Headers],[2%]],2) &amp; "€
            " &amp; ROUND($C16*(1+Tab_ERA35[[#Headers],[2%]]),2) &amp; "€"</f>
        <v>+100,57€
            5129,07€</v>
      </c>
      <c r="F16" s="12" t="str">
        <f>"+" &amp; ROUND($C16*Tab_ERA35[[#Headers],[2%]],2) &amp; "€
            " &amp; ROUND($C16*(1+Tab_ERA35[[#Headers],[2%]]),2) &amp; "€"</f>
        <v>+100,57€
            5129,07€</v>
      </c>
      <c r="G16" s="12" t="str">
        <f>"+" &amp; ROUND($C16*Tab_ERA35[[#Headers],[3%]],2) &amp; "€
            " &amp; ROUND($C16*(1+Tab_ERA35[[#Headers],[3%]]),2) &amp; "€"</f>
        <v>+150,86€
            5179,36€</v>
      </c>
      <c r="H16" s="12" t="str">
        <f>"+" &amp; ROUND($C16*Tab_ERA35[[#Headers],[3%]],2) &amp; "€
            " &amp; ROUND($C16*(1+Tab_ERA35[[#Headers],[3%]]),2) &amp; "€"</f>
        <v>+150,86€
            5179,36€</v>
      </c>
      <c r="I16" s="12" t="str">
        <f>"+" &amp; ROUND($C16*Tab_ERA35[[#Headers],[4%]],2) &amp; "€
            " &amp; ROUND($C16*(1+Tab_ERA35[[#Headers],[4%]]),2) &amp; "€"</f>
        <v>+201,14€
            5229,64€</v>
      </c>
      <c r="J16" s="12" t="str">
        <f>"+" &amp; ROUND($C16*Tab_ERA35[[#Headers],[4%]],2) &amp; "€
            " &amp; ROUND($C16*(1+Tab_ERA35[[#Headers],[4%]]),2) &amp; "€"</f>
        <v>+201,14€
            5229,64€</v>
      </c>
      <c r="K16" s="12" t="str">
        <f>"+" &amp; ROUND($C16*Tab_ERA35[[#Headers],[5%]],2) &amp; "€
            " &amp; ROUND($C16*(1+Tab_ERA35[[#Headers],[5%]]),2) &amp; "€"</f>
        <v>+251,43€
            5279,93€</v>
      </c>
      <c r="L16" s="12" t="str">
        <f>"+" &amp; ROUND($C16*Tab_ERA35[[#Headers],[5%]],2) &amp; "€
            " &amp; ROUND($C16*(1+Tab_ERA35[[#Headers],[5%]]),2) &amp; "€"</f>
        <v>+251,43€
            5279,93€</v>
      </c>
      <c r="M16" s="12" t="str">
        <f>"+" &amp; ROUND($C16*Tab_ERA35[[#Headers],[6%]],2) &amp; "€
            " &amp; ROUND($C16*(1+Tab_ERA35[[#Headers],[6%]]),2) &amp; "€"</f>
        <v>+301,71€
            5330,21€</v>
      </c>
      <c r="N16" s="12" t="str">
        <f>"+" &amp; ROUND($C16*Tab_ERA35[[#Headers],[6%]],2) &amp; "€
            " &amp; ROUND($C16*(1+Tab_ERA35[[#Headers],[6%]]),2) &amp; "€"</f>
        <v>+301,71€
            5330,21€</v>
      </c>
      <c r="O16" s="12" t="str">
        <f>"+" &amp; ROUND($C16*Tab_ERA35[[#Headers],[7%]],2) &amp; "€
            " &amp; ROUND($C16*(1+Tab_ERA35[[#Headers],[7%]]),2) &amp; "€"</f>
        <v>+352€
            5380,5€</v>
      </c>
      <c r="P16" s="12" t="str">
        <f>"+" &amp; ROUND($C16*Tab_ERA35[[#Headers],[7%]],2) &amp; "€
            " &amp; ROUND($C16*(1+Tab_ERA35[[#Headers],[7%]]),2) &amp; "€"</f>
        <v>+352€
            5380,5€</v>
      </c>
      <c r="Q16" s="12" t="str">
        <f>"+" &amp; ROUND($C16*Tab_ERA35[[#Headers],[8%]],2) &amp; "€
            " &amp; ROUND($C16*(1+Tab_ERA35[[#Headers],[8%]]),2) &amp; "€"</f>
        <v>+402,28€
            5430,78€</v>
      </c>
      <c r="R16" s="12" t="str">
        <f>"+" &amp; ROUND($C16*Tab_ERA35[[#Headers],[8%]],2) &amp; "€
            " &amp; ROUND($C16*(1+Tab_ERA35[[#Headers],[8%]]),2) &amp; "€"</f>
        <v>+402,28€
            5430,78€</v>
      </c>
      <c r="S16" s="12" t="str">
        <f>"+" &amp; ROUND($C16*Tab_ERA35[[#Headers],[9%]],2) &amp; "€
            " &amp; ROUND($C16*(1+Tab_ERA35[[#Headers],[9%]]),2) &amp; "€"</f>
        <v>+452,57€
            5481,07€</v>
      </c>
      <c r="T16" s="12" t="str">
        <f>"+" &amp; ROUND($C16*Tab_ERA35[[#Headers],[9%]],2) &amp; "€
            " &amp; ROUND($C16*(1+Tab_ERA35[[#Headers],[9%]]),2) &amp; "€"</f>
        <v>+452,57€
            5481,07€</v>
      </c>
      <c r="U16" s="12" t="str">
        <f>"+" &amp; ROUND($C16*Tab_ERA35[[#Headers],[10%]],2) &amp; "€
            " &amp; ROUND($C16*(1+Tab_ERA35[[#Headers],[10%]]),2) &amp; "€"</f>
        <v>+502,85€
            5531,35€</v>
      </c>
      <c r="V16" s="12" t="str">
        <f>"+" &amp; ROUND($C16*Tab_ERA35[[#Headers],[10%]],2) &amp; "€
            " &amp; ROUND($C16*(1+Tab_ERA35[[#Headers],[10%]]),2) &amp; "€"</f>
        <v>+502,85€
            5531,35€</v>
      </c>
      <c r="W16" s="12" t="str">
        <f>"+" &amp; ROUND($C16*Tab_ERA35[[#Headers],[11%]],2) &amp; "€
            " &amp; ROUND($C16*(1+Tab_ERA35[[#Headers],[11%]]),2) &amp; "€"</f>
        <v>+553,14€
            5581,64€</v>
      </c>
      <c r="X16" s="12" t="str">
        <f>"+" &amp; ROUND($C16*Tab_ERA35[[#Headers],[11%]],2) &amp; "€
            " &amp; ROUND($C16*(1+Tab_ERA35[[#Headers],[11%]]),2) &amp; "€"</f>
        <v>+553,14€
            5581,64€</v>
      </c>
      <c r="Y16" s="12" t="str">
        <f>"+" &amp; ROUND($C16*Tab_ERA35[[#Headers],[12%]],2) &amp; "€
            " &amp; ROUND($C16*(1+Tab_ERA35[[#Headers],[12%]]),2) &amp; "€"</f>
        <v>+603,42€
            5631,92€</v>
      </c>
      <c r="Z16" s="12" t="str">
        <f>"+" &amp; ROUND($C16*Tab_ERA35[[#Headers],[12%]],2) &amp; "€
            " &amp; ROUND($C16*(1+Tab_ERA35[[#Headers],[12%]]),2) &amp; "€"</f>
        <v>+603,42€
            5631,92€</v>
      </c>
      <c r="AA16" s="12" t="str">
        <f>"+" &amp; ROUND($C16*Tab_ERA35[[#Headers],[13%]],2) &amp; "€
            " &amp; ROUND($C16*(1+Tab_ERA35[[#Headers],[13%]]),2) &amp; "€"</f>
        <v>+653,71€
            5682,21€</v>
      </c>
      <c r="AB16" s="12" t="str">
        <f>"+" &amp; ROUND($C16*Tab_ERA35[[#Headers],[13%]],2) &amp; "€
            " &amp; ROUND($C16*(1+Tab_ERA35[[#Headers],[13%]]),2) &amp; "€"</f>
        <v>+653,71€
            5682,21€</v>
      </c>
      <c r="AC16" s="12" t="str">
        <f>"+" &amp; ROUND($C16*Tab_ERA35[[#Headers],[14%]],2) &amp; "€
            " &amp; ROUND($C16*(1+Tab_ERA35[[#Headers],[14%]]),2) &amp; "€"</f>
        <v>+703,99€
            5732,49€</v>
      </c>
      <c r="AD16" s="12" t="str">
        <f>"+" &amp; ROUND($C16*Tab_ERA35[[#Headers],[14%]],2) &amp; "€
            " &amp; ROUND($C16*(1+Tab_ERA35[[#Headers],[14%]]),2) &amp; "€"</f>
        <v>+703,99€
            5732,49€</v>
      </c>
      <c r="AE16" s="12" t="str">
        <f>"+" &amp; ROUND($C16*Tab_ERA35[[#Headers],[15%]],2) &amp; "€
            " &amp; ROUND($C16*(1+Tab_ERA35[[#Headers],[15%]]),2) &amp; "€"</f>
        <v>+754,28€
            5782,78€</v>
      </c>
      <c r="AF16" s="12" t="str">
        <f>"+" &amp; ROUND($C16*Tab_ERA35[[#Headers],[15%]],2) &amp; "€
            " &amp; ROUND($C16*(1+Tab_ERA35[[#Headers],[15%]]),2) &amp; "€"</f>
        <v>+754,28€
            5782,78€</v>
      </c>
      <c r="AG16" s="12" t="str">
        <f>"+" &amp; ROUND($C16*Tab_ERA35[[#Headers],[16%]],2) &amp; "€
            " &amp; ROUND($C16*(1+Tab_ERA35[[#Headers],[16%]]),2) &amp; "€"</f>
        <v>+804,56€
            5833,06€</v>
      </c>
    </row>
    <row r="17" spans="1:33" ht="41.4" x14ac:dyDescent="0.3">
      <c r="A17" s="4" t="s">
        <v>82</v>
      </c>
      <c r="B17" s="5">
        <v>1.5649999999999999</v>
      </c>
      <c r="C17" s="6">
        <f>MROUND($C$10*Tab_ERA35[[#This Row],[Entgelt-
gruppen-
schlüssel]],0.5)</f>
        <v>5335</v>
      </c>
      <c r="D17" s="12" t="str">
        <f>"+" &amp; ROUND($C17*Tab_ERA35[[#Headers],[1%]],2) &amp; "€
            " &amp; ROUND($C17*(1+Tab_ERA35[[#Headers],[1%]]),2) &amp; "€"</f>
        <v>+53,35€
            5388,35€</v>
      </c>
      <c r="E17" s="12" t="str">
        <f>"+" &amp; ROUND($C17*Tab_ERA35[[#Headers],[2%]],2) &amp; "€
            " &amp; ROUND($C17*(1+Tab_ERA35[[#Headers],[2%]]),2) &amp; "€"</f>
        <v>+106,7€
            5441,7€</v>
      </c>
      <c r="F17" s="12" t="str">
        <f>"+" &amp; ROUND($C17*Tab_ERA35[[#Headers],[2%]],2) &amp; "€
            " &amp; ROUND($C17*(1+Tab_ERA35[[#Headers],[2%]]),2) &amp; "€"</f>
        <v>+106,7€
            5441,7€</v>
      </c>
      <c r="G17" s="12" t="str">
        <f>"+" &amp; ROUND($C17*Tab_ERA35[[#Headers],[3%]],2) &amp; "€
            " &amp; ROUND($C17*(1+Tab_ERA35[[#Headers],[3%]]),2) &amp; "€"</f>
        <v>+160,05€
            5495,05€</v>
      </c>
      <c r="H17" s="12" t="str">
        <f>"+" &amp; ROUND($C17*Tab_ERA35[[#Headers],[3%]],2) &amp; "€
            " &amp; ROUND($C17*(1+Tab_ERA35[[#Headers],[3%]]),2) &amp; "€"</f>
        <v>+160,05€
            5495,05€</v>
      </c>
      <c r="I17" s="12" t="str">
        <f>"+" &amp; ROUND($C17*Tab_ERA35[[#Headers],[4%]],2) &amp; "€
            " &amp; ROUND($C17*(1+Tab_ERA35[[#Headers],[4%]]),2) &amp; "€"</f>
        <v>+213,4€
            5548,4€</v>
      </c>
      <c r="J17" s="12" t="str">
        <f>"+" &amp; ROUND($C17*Tab_ERA35[[#Headers],[4%]],2) &amp; "€
            " &amp; ROUND($C17*(1+Tab_ERA35[[#Headers],[4%]]),2) &amp; "€"</f>
        <v>+213,4€
            5548,4€</v>
      </c>
      <c r="K17" s="12" t="str">
        <f>"+" &amp; ROUND($C17*Tab_ERA35[[#Headers],[5%]],2) &amp; "€
            " &amp; ROUND($C17*(1+Tab_ERA35[[#Headers],[5%]]),2) &amp; "€"</f>
        <v>+266,75€
            5601,75€</v>
      </c>
      <c r="L17" s="12" t="str">
        <f>"+" &amp; ROUND($C17*Tab_ERA35[[#Headers],[5%]],2) &amp; "€
            " &amp; ROUND($C17*(1+Tab_ERA35[[#Headers],[5%]]),2) &amp; "€"</f>
        <v>+266,75€
            5601,75€</v>
      </c>
      <c r="M17" s="12" t="str">
        <f>"+" &amp; ROUND($C17*Tab_ERA35[[#Headers],[6%]],2) &amp; "€
            " &amp; ROUND($C17*(1+Tab_ERA35[[#Headers],[6%]]),2) &amp; "€"</f>
        <v>+320,1€
            5655,1€</v>
      </c>
      <c r="N17" s="12" t="str">
        <f>"+" &amp; ROUND($C17*Tab_ERA35[[#Headers],[6%]],2) &amp; "€
            " &amp; ROUND($C17*(1+Tab_ERA35[[#Headers],[6%]]),2) &amp; "€"</f>
        <v>+320,1€
            5655,1€</v>
      </c>
      <c r="O17" s="12" t="str">
        <f>"+" &amp; ROUND($C17*Tab_ERA35[[#Headers],[7%]],2) &amp; "€
            " &amp; ROUND($C17*(1+Tab_ERA35[[#Headers],[7%]]),2) &amp; "€"</f>
        <v>+373,45€
            5708,45€</v>
      </c>
      <c r="P17" s="12" t="str">
        <f>"+" &amp; ROUND($C17*Tab_ERA35[[#Headers],[7%]],2) &amp; "€
            " &amp; ROUND($C17*(1+Tab_ERA35[[#Headers],[7%]]),2) &amp; "€"</f>
        <v>+373,45€
            5708,45€</v>
      </c>
      <c r="Q17" s="12" t="str">
        <f>"+" &amp; ROUND($C17*Tab_ERA35[[#Headers],[8%]],2) &amp; "€
            " &amp; ROUND($C17*(1+Tab_ERA35[[#Headers],[8%]]),2) &amp; "€"</f>
        <v>+426,8€
            5761,8€</v>
      </c>
      <c r="R17" s="12" t="str">
        <f>"+" &amp; ROUND($C17*Tab_ERA35[[#Headers],[8%]],2) &amp; "€
            " &amp; ROUND($C17*(1+Tab_ERA35[[#Headers],[8%]]),2) &amp; "€"</f>
        <v>+426,8€
            5761,8€</v>
      </c>
      <c r="S17" s="12" t="str">
        <f>"+" &amp; ROUND($C17*Tab_ERA35[[#Headers],[9%]],2) &amp; "€
            " &amp; ROUND($C17*(1+Tab_ERA35[[#Headers],[9%]]),2) &amp; "€"</f>
        <v>+480,15€
            5815,15€</v>
      </c>
      <c r="T17" s="12" t="str">
        <f>"+" &amp; ROUND($C17*Tab_ERA35[[#Headers],[9%]],2) &amp; "€
            " &amp; ROUND($C17*(1+Tab_ERA35[[#Headers],[9%]]),2) &amp; "€"</f>
        <v>+480,15€
            5815,15€</v>
      </c>
      <c r="U17" s="12" t="str">
        <f>"+" &amp; ROUND($C17*Tab_ERA35[[#Headers],[10%]],2) &amp; "€
            " &amp; ROUND($C17*(1+Tab_ERA35[[#Headers],[10%]]),2) &amp; "€"</f>
        <v>+533,5€
            5868,5€</v>
      </c>
      <c r="V17" s="12" t="str">
        <f>"+" &amp; ROUND($C17*Tab_ERA35[[#Headers],[10%]],2) &amp; "€
            " &amp; ROUND($C17*(1+Tab_ERA35[[#Headers],[10%]]),2) &amp; "€"</f>
        <v>+533,5€
            5868,5€</v>
      </c>
      <c r="W17" s="12" t="str">
        <f>"+" &amp; ROUND($C17*Tab_ERA35[[#Headers],[11%]],2) &amp; "€
            " &amp; ROUND($C17*(1+Tab_ERA35[[#Headers],[11%]]),2) &amp; "€"</f>
        <v>+586,85€
            5921,85€</v>
      </c>
      <c r="X17" s="12" t="str">
        <f>"+" &amp; ROUND($C17*Tab_ERA35[[#Headers],[11%]],2) &amp; "€
            " &amp; ROUND($C17*(1+Tab_ERA35[[#Headers],[11%]]),2) &amp; "€"</f>
        <v>+586,85€
            5921,85€</v>
      </c>
      <c r="Y17" s="12" t="str">
        <f>"+" &amp; ROUND($C17*Tab_ERA35[[#Headers],[12%]],2) &amp; "€
            " &amp; ROUND($C17*(1+Tab_ERA35[[#Headers],[12%]]),2) &amp; "€"</f>
        <v>+640,2€
            5975,2€</v>
      </c>
      <c r="Z17" s="12" t="str">
        <f>"+" &amp; ROUND($C17*Tab_ERA35[[#Headers],[12%]],2) &amp; "€
            " &amp; ROUND($C17*(1+Tab_ERA35[[#Headers],[12%]]),2) &amp; "€"</f>
        <v>+640,2€
            5975,2€</v>
      </c>
      <c r="AA17" s="12" t="str">
        <f>"+" &amp; ROUND($C17*Tab_ERA35[[#Headers],[13%]],2) &amp; "€
            " &amp; ROUND($C17*(1+Tab_ERA35[[#Headers],[13%]]),2) &amp; "€"</f>
        <v>+693,55€
            6028,55€</v>
      </c>
      <c r="AB17" s="12" t="str">
        <f>"+" &amp; ROUND($C17*Tab_ERA35[[#Headers],[13%]],2) &amp; "€
            " &amp; ROUND($C17*(1+Tab_ERA35[[#Headers],[13%]]),2) &amp; "€"</f>
        <v>+693,55€
            6028,55€</v>
      </c>
      <c r="AC17" s="12" t="str">
        <f>"+" &amp; ROUND($C17*Tab_ERA35[[#Headers],[14%]],2) &amp; "€
            " &amp; ROUND($C17*(1+Tab_ERA35[[#Headers],[14%]]),2) &amp; "€"</f>
        <v>+746,9€
            6081,9€</v>
      </c>
      <c r="AD17" s="12" t="str">
        <f>"+" &amp; ROUND($C17*Tab_ERA35[[#Headers],[14%]],2) &amp; "€
            " &amp; ROUND($C17*(1+Tab_ERA35[[#Headers],[14%]]),2) &amp; "€"</f>
        <v>+746,9€
            6081,9€</v>
      </c>
      <c r="AE17" s="12" t="str">
        <f>"+" &amp; ROUND($C17*Tab_ERA35[[#Headers],[15%]],2) &amp; "€
            " &amp; ROUND($C17*(1+Tab_ERA35[[#Headers],[15%]]),2) &amp; "€"</f>
        <v>+800,25€
            6135,25€</v>
      </c>
      <c r="AF17" s="12" t="str">
        <f>"+" &amp; ROUND($C17*Tab_ERA35[[#Headers],[15%]],2) &amp; "€
            " &amp; ROUND($C17*(1+Tab_ERA35[[#Headers],[15%]]),2) &amp; "€"</f>
        <v>+800,25€
            6135,25€</v>
      </c>
      <c r="AG17" s="12" t="str">
        <f>"+" &amp; ROUND($C17*Tab_ERA35[[#Headers],[16%]],2) &amp; "€
            " &amp; ROUND($C17*(1+Tab_ERA35[[#Headers],[16%]]),2) &amp; "€"</f>
        <v>+853,6€
            6188,6€</v>
      </c>
    </row>
    <row r="18" spans="1:33" ht="41.4" x14ac:dyDescent="0.3">
      <c r="A18" s="4" t="s">
        <v>83</v>
      </c>
      <c r="B18" s="5">
        <v>1.655</v>
      </c>
      <c r="C18" s="6">
        <f>MROUND($C$10*Tab_ERA35[[#This Row],[Entgelt-
gruppen-
schlüssel]],0.5)</f>
        <v>5642</v>
      </c>
      <c r="D18" s="12" t="str">
        <f>"+" &amp; ROUND($C18*Tab_ERA35[[#Headers],[1%]],2) &amp; "€
            " &amp; ROUND($C18*(1+Tab_ERA35[[#Headers],[1%]]),2) &amp; "€"</f>
        <v>+56,42€
            5698,42€</v>
      </c>
      <c r="E18" s="12" t="str">
        <f>"+" &amp; ROUND($C18*Tab_ERA35[[#Headers],[2%]],2) &amp; "€
            " &amp; ROUND($C18*(1+Tab_ERA35[[#Headers],[2%]]),2) &amp; "€"</f>
        <v>+112,84€
            5754,84€</v>
      </c>
      <c r="F18" s="12" t="str">
        <f>"+" &amp; ROUND($C18*Tab_ERA35[[#Headers],[2%]],2) &amp; "€
            " &amp; ROUND($C18*(1+Tab_ERA35[[#Headers],[2%]]),2) &amp; "€"</f>
        <v>+112,84€
            5754,84€</v>
      </c>
      <c r="G18" s="12" t="str">
        <f>"+" &amp; ROUND($C18*Tab_ERA35[[#Headers],[3%]],2) &amp; "€
            " &amp; ROUND($C18*(1+Tab_ERA35[[#Headers],[3%]]),2) &amp; "€"</f>
        <v>+169,26€
            5811,26€</v>
      </c>
      <c r="H18" s="12" t="str">
        <f>"+" &amp; ROUND($C18*Tab_ERA35[[#Headers],[3%]],2) &amp; "€
            " &amp; ROUND($C18*(1+Tab_ERA35[[#Headers],[3%]]),2) &amp; "€"</f>
        <v>+169,26€
            5811,26€</v>
      </c>
      <c r="I18" s="12" t="str">
        <f>"+" &amp; ROUND($C18*Tab_ERA35[[#Headers],[4%]],2) &amp; "€
            " &amp; ROUND($C18*(1+Tab_ERA35[[#Headers],[4%]]),2) &amp; "€"</f>
        <v>+225,68€
            5867,68€</v>
      </c>
      <c r="J18" s="12" t="str">
        <f>"+" &amp; ROUND($C18*Tab_ERA35[[#Headers],[4%]],2) &amp; "€
            " &amp; ROUND($C18*(1+Tab_ERA35[[#Headers],[4%]]),2) &amp; "€"</f>
        <v>+225,68€
            5867,68€</v>
      </c>
      <c r="K18" s="12" t="str">
        <f>"+" &amp; ROUND($C18*Tab_ERA35[[#Headers],[5%]],2) &amp; "€
            " &amp; ROUND($C18*(1+Tab_ERA35[[#Headers],[5%]]),2) &amp; "€"</f>
        <v>+282,1€
            5924,1€</v>
      </c>
      <c r="L18" s="12" t="str">
        <f>"+" &amp; ROUND($C18*Tab_ERA35[[#Headers],[5%]],2) &amp; "€
            " &amp; ROUND($C18*(1+Tab_ERA35[[#Headers],[5%]]),2) &amp; "€"</f>
        <v>+282,1€
            5924,1€</v>
      </c>
      <c r="M18" s="12" t="str">
        <f>"+" &amp; ROUND($C18*Tab_ERA35[[#Headers],[6%]],2) &amp; "€
            " &amp; ROUND($C18*(1+Tab_ERA35[[#Headers],[6%]]),2) &amp; "€"</f>
        <v>+338,52€
            5980,52€</v>
      </c>
      <c r="N18" s="12" t="str">
        <f>"+" &amp; ROUND($C18*Tab_ERA35[[#Headers],[6%]],2) &amp; "€
            " &amp; ROUND($C18*(1+Tab_ERA35[[#Headers],[6%]]),2) &amp; "€"</f>
        <v>+338,52€
            5980,52€</v>
      </c>
      <c r="O18" s="12" t="str">
        <f>"+" &amp; ROUND($C18*Tab_ERA35[[#Headers],[7%]],2) &amp; "€
            " &amp; ROUND($C18*(1+Tab_ERA35[[#Headers],[7%]]),2) &amp; "€"</f>
        <v>+394,94€
            6036,94€</v>
      </c>
      <c r="P18" s="12" t="str">
        <f>"+" &amp; ROUND($C18*Tab_ERA35[[#Headers],[7%]],2) &amp; "€
            " &amp; ROUND($C18*(1+Tab_ERA35[[#Headers],[7%]]),2) &amp; "€"</f>
        <v>+394,94€
            6036,94€</v>
      </c>
      <c r="Q18" s="12" t="str">
        <f>"+" &amp; ROUND($C18*Tab_ERA35[[#Headers],[8%]],2) &amp; "€
            " &amp; ROUND($C18*(1+Tab_ERA35[[#Headers],[8%]]),2) &amp; "€"</f>
        <v>+451,36€
            6093,36€</v>
      </c>
      <c r="R18" s="12" t="str">
        <f>"+" &amp; ROUND($C18*Tab_ERA35[[#Headers],[8%]],2) &amp; "€
            " &amp; ROUND($C18*(1+Tab_ERA35[[#Headers],[8%]]),2) &amp; "€"</f>
        <v>+451,36€
            6093,36€</v>
      </c>
      <c r="S18" s="12" t="str">
        <f>"+" &amp; ROUND($C18*Tab_ERA35[[#Headers],[9%]],2) &amp; "€
            " &amp; ROUND($C18*(1+Tab_ERA35[[#Headers],[9%]]),2) &amp; "€"</f>
        <v>+507,78€
            6149,78€</v>
      </c>
      <c r="T18" s="12" t="str">
        <f>"+" &amp; ROUND($C18*Tab_ERA35[[#Headers],[9%]],2) &amp; "€
            " &amp; ROUND($C18*(1+Tab_ERA35[[#Headers],[9%]]),2) &amp; "€"</f>
        <v>+507,78€
            6149,78€</v>
      </c>
      <c r="U18" s="12" t="str">
        <f>"+" &amp; ROUND($C18*Tab_ERA35[[#Headers],[10%]],2) &amp; "€
            " &amp; ROUND($C18*(1+Tab_ERA35[[#Headers],[10%]]),2) &amp; "€"</f>
        <v>+564,2€
            6206,2€</v>
      </c>
      <c r="V18" s="12" t="str">
        <f>"+" &amp; ROUND($C18*Tab_ERA35[[#Headers],[10%]],2) &amp; "€
            " &amp; ROUND($C18*(1+Tab_ERA35[[#Headers],[10%]]),2) &amp; "€"</f>
        <v>+564,2€
            6206,2€</v>
      </c>
      <c r="W18" s="12" t="str">
        <f>"+" &amp; ROUND($C18*Tab_ERA35[[#Headers],[11%]],2) &amp; "€
            " &amp; ROUND($C18*(1+Tab_ERA35[[#Headers],[11%]]),2) &amp; "€"</f>
        <v>+620,62€
            6262,62€</v>
      </c>
      <c r="X18" s="12" t="str">
        <f>"+" &amp; ROUND($C18*Tab_ERA35[[#Headers],[11%]],2) &amp; "€
            " &amp; ROUND($C18*(1+Tab_ERA35[[#Headers],[11%]]),2) &amp; "€"</f>
        <v>+620,62€
            6262,62€</v>
      </c>
      <c r="Y18" s="12" t="str">
        <f>"+" &amp; ROUND($C18*Tab_ERA35[[#Headers],[12%]],2) &amp; "€
            " &amp; ROUND($C18*(1+Tab_ERA35[[#Headers],[12%]]),2) &amp; "€"</f>
        <v>+677,04€
            6319,04€</v>
      </c>
      <c r="Z18" s="12" t="str">
        <f>"+" &amp; ROUND($C18*Tab_ERA35[[#Headers],[12%]],2) &amp; "€
            " &amp; ROUND($C18*(1+Tab_ERA35[[#Headers],[12%]]),2) &amp; "€"</f>
        <v>+677,04€
            6319,04€</v>
      </c>
      <c r="AA18" s="12" t="str">
        <f>"+" &amp; ROUND($C18*Tab_ERA35[[#Headers],[13%]],2) &amp; "€
            " &amp; ROUND($C18*(1+Tab_ERA35[[#Headers],[13%]]),2) &amp; "€"</f>
        <v>+733,46€
            6375,46€</v>
      </c>
      <c r="AB18" s="12" t="str">
        <f>"+" &amp; ROUND($C18*Tab_ERA35[[#Headers],[13%]],2) &amp; "€
            " &amp; ROUND($C18*(1+Tab_ERA35[[#Headers],[13%]]),2) &amp; "€"</f>
        <v>+733,46€
            6375,46€</v>
      </c>
      <c r="AC18" s="12" t="str">
        <f>"+" &amp; ROUND($C18*Tab_ERA35[[#Headers],[14%]],2) &amp; "€
            " &amp; ROUND($C18*(1+Tab_ERA35[[#Headers],[14%]]),2) &amp; "€"</f>
        <v>+789,88€
            6431,88€</v>
      </c>
      <c r="AD18" s="12" t="str">
        <f>"+" &amp; ROUND($C18*Tab_ERA35[[#Headers],[14%]],2) &amp; "€
            " &amp; ROUND($C18*(1+Tab_ERA35[[#Headers],[14%]]),2) &amp; "€"</f>
        <v>+789,88€
            6431,88€</v>
      </c>
      <c r="AE18" s="12" t="str">
        <f>"+" &amp; ROUND($C18*Tab_ERA35[[#Headers],[15%]],2) &amp; "€
            " &amp; ROUND($C18*(1+Tab_ERA35[[#Headers],[15%]]),2) &amp; "€"</f>
        <v>+846,3€
            6488,3€</v>
      </c>
      <c r="AF18" s="12" t="str">
        <f>"+" &amp; ROUND($C18*Tab_ERA35[[#Headers],[15%]],2) &amp; "€
            " &amp; ROUND($C18*(1+Tab_ERA35[[#Headers],[15%]]),2) &amp; "€"</f>
        <v>+846,3€
            6488,3€</v>
      </c>
      <c r="AG18" s="12" t="str">
        <f>"+" &amp; ROUND($C18*Tab_ERA35[[#Headers],[16%]],2) &amp; "€
            " &amp; ROUND($C18*(1+Tab_ERA35[[#Headers],[16%]]),2) &amp; "€"</f>
        <v>+902,72€
            6544,72€</v>
      </c>
    </row>
    <row r="19" spans="1:33" ht="41.4" x14ac:dyDescent="0.3">
      <c r="A19" s="4" t="s">
        <v>84</v>
      </c>
      <c r="B19" s="5">
        <v>1.7649999999999999</v>
      </c>
      <c r="C19" s="6">
        <f>MROUND($C$10*Tab_ERA35[[#This Row],[Entgelt-
gruppen-
schlüssel]],0.5)</f>
        <v>6017</v>
      </c>
      <c r="D19" s="12" t="str">
        <f>"+" &amp; ROUND($C19*Tab_ERA35[[#Headers],[1%]],2) &amp; "€
            " &amp; ROUND($C19*(1+Tab_ERA35[[#Headers],[1%]]),2) &amp; "€"</f>
        <v>+60,17€
            6077,17€</v>
      </c>
      <c r="E19" s="12" t="str">
        <f>"+" &amp; ROUND($C19*Tab_ERA35[[#Headers],[2%]],2) &amp; "€
            " &amp; ROUND($C19*(1+Tab_ERA35[[#Headers],[2%]]),2) &amp; "€"</f>
        <v>+120,34€
            6137,34€</v>
      </c>
      <c r="F19" s="12" t="str">
        <f>"+" &amp; ROUND($C19*Tab_ERA35[[#Headers],[2%]],2) &amp; "€
            " &amp; ROUND($C19*(1+Tab_ERA35[[#Headers],[2%]]),2) &amp; "€"</f>
        <v>+120,34€
            6137,34€</v>
      </c>
      <c r="G19" s="12" t="str">
        <f>"+" &amp; ROUND($C19*Tab_ERA35[[#Headers],[3%]],2) &amp; "€
            " &amp; ROUND($C19*(1+Tab_ERA35[[#Headers],[3%]]),2) &amp; "€"</f>
        <v>+180,51€
            6197,51€</v>
      </c>
      <c r="H19" s="12" t="str">
        <f>"+" &amp; ROUND($C19*Tab_ERA35[[#Headers],[3%]],2) &amp; "€
            " &amp; ROUND($C19*(1+Tab_ERA35[[#Headers],[3%]]),2) &amp; "€"</f>
        <v>+180,51€
            6197,51€</v>
      </c>
      <c r="I19" s="12" t="str">
        <f>"+" &amp; ROUND($C19*Tab_ERA35[[#Headers],[4%]],2) &amp; "€
            " &amp; ROUND($C19*(1+Tab_ERA35[[#Headers],[4%]]),2) &amp; "€"</f>
        <v>+240,68€
            6257,68€</v>
      </c>
      <c r="J19" s="12" t="str">
        <f>"+" &amp; ROUND($C19*Tab_ERA35[[#Headers],[4%]],2) &amp; "€
            " &amp; ROUND($C19*(1+Tab_ERA35[[#Headers],[4%]]),2) &amp; "€"</f>
        <v>+240,68€
            6257,68€</v>
      </c>
      <c r="K19" s="12" t="str">
        <f>"+" &amp; ROUND($C19*Tab_ERA35[[#Headers],[5%]],2) &amp; "€
            " &amp; ROUND($C19*(1+Tab_ERA35[[#Headers],[5%]]),2) &amp; "€"</f>
        <v>+300,85€
            6317,85€</v>
      </c>
      <c r="L19" s="12" t="str">
        <f>"+" &amp; ROUND($C19*Tab_ERA35[[#Headers],[5%]],2) &amp; "€
            " &amp; ROUND($C19*(1+Tab_ERA35[[#Headers],[5%]]),2) &amp; "€"</f>
        <v>+300,85€
            6317,85€</v>
      </c>
      <c r="M19" s="12" t="str">
        <f>"+" &amp; ROUND($C19*Tab_ERA35[[#Headers],[6%]],2) &amp; "€
            " &amp; ROUND($C19*(1+Tab_ERA35[[#Headers],[6%]]),2) &amp; "€"</f>
        <v>+361,02€
            6378,02€</v>
      </c>
      <c r="N19" s="12" t="str">
        <f>"+" &amp; ROUND($C19*Tab_ERA35[[#Headers],[6%]],2) &amp; "€
            " &amp; ROUND($C19*(1+Tab_ERA35[[#Headers],[6%]]),2) &amp; "€"</f>
        <v>+361,02€
            6378,02€</v>
      </c>
      <c r="O19" s="12" t="str">
        <f>"+" &amp; ROUND($C19*Tab_ERA35[[#Headers],[7%]],2) &amp; "€
            " &amp; ROUND($C19*(1+Tab_ERA35[[#Headers],[7%]]),2) &amp; "€"</f>
        <v>+421,19€
            6438,19€</v>
      </c>
      <c r="P19" s="12" t="str">
        <f>"+" &amp; ROUND($C19*Tab_ERA35[[#Headers],[7%]],2) &amp; "€
            " &amp; ROUND($C19*(1+Tab_ERA35[[#Headers],[7%]]),2) &amp; "€"</f>
        <v>+421,19€
            6438,19€</v>
      </c>
      <c r="Q19" s="12" t="str">
        <f>"+" &amp; ROUND($C19*Tab_ERA35[[#Headers],[8%]],2) &amp; "€
            " &amp; ROUND($C19*(1+Tab_ERA35[[#Headers],[8%]]),2) &amp; "€"</f>
        <v>+481,36€
            6498,36€</v>
      </c>
      <c r="R19" s="12" t="str">
        <f>"+" &amp; ROUND($C19*Tab_ERA35[[#Headers],[8%]],2) &amp; "€
            " &amp; ROUND($C19*(1+Tab_ERA35[[#Headers],[8%]]),2) &amp; "€"</f>
        <v>+481,36€
            6498,36€</v>
      </c>
      <c r="S19" s="12" t="str">
        <f>"+" &amp; ROUND($C19*Tab_ERA35[[#Headers],[9%]],2) &amp; "€
            " &amp; ROUND($C19*(1+Tab_ERA35[[#Headers],[9%]]),2) &amp; "€"</f>
        <v>+541,53€
            6558,53€</v>
      </c>
      <c r="T19" s="12" t="str">
        <f>"+" &amp; ROUND($C19*Tab_ERA35[[#Headers],[9%]],2) &amp; "€
            " &amp; ROUND($C19*(1+Tab_ERA35[[#Headers],[9%]]),2) &amp; "€"</f>
        <v>+541,53€
            6558,53€</v>
      </c>
      <c r="U19" s="12" t="str">
        <f>"+" &amp; ROUND($C19*Tab_ERA35[[#Headers],[10%]],2) &amp; "€
            " &amp; ROUND($C19*(1+Tab_ERA35[[#Headers],[10%]]),2) &amp; "€"</f>
        <v>+601,7€
            6618,7€</v>
      </c>
      <c r="V19" s="12" t="str">
        <f>"+" &amp; ROUND($C19*Tab_ERA35[[#Headers],[10%]],2) &amp; "€
            " &amp; ROUND($C19*(1+Tab_ERA35[[#Headers],[10%]]),2) &amp; "€"</f>
        <v>+601,7€
            6618,7€</v>
      </c>
      <c r="W19" s="12" t="str">
        <f>"+" &amp; ROUND($C19*Tab_ERA35[[#Headers],[11%]],2) &amp; "€
            " &amp; ROUND($C19*(1+Tab_ERA35[[#Headers],[11%]]),2) &amp; "€"</f>
        <v>+661,87€
            6678,87€</v>
      </c>
      <c r="X19" s="12" t="str">
        <f>"+" &amp; ROUND($C19*Tab_ERA35[[#Headers],[11%]],2) &amp; "€
            " &amp; ROUND($C19*(1+Tab_ERA35[[#Headers],[11%]]),2) &amp; "€"</f>
        <v>+661,87€
            6678,87€</v>
      </c>
      <c r="Y19" s="12" t="str">
        <f>"+" &amp; ROUND($C19*Tab_ERA35[[#Headers],[12%]],2) &amp; "€
            " &amp; ROUND($C19*(1+Tab_ERA35[[#Headers],[12%]]),2) &amp; "€"</f>
        <v>+722,04€
            6739,04€</v>
      </c>
      <c r="Z19" s="12" t="str">
        <f>"+" &amp; ROUND($C19*Tab_ERA35[[#Headers],[12%]],2) &amp; "€
            " &amp; ROUND($C19*(1+Tab_ERA35[[#Headers],[12%]]),2) &amp; "€"</f>
        <v>+722,04€
            6739,04€</v>
      </c>
      <c r="AA19" s="12" t="str">
        <f>"+" &amp; ROUND($C19*Tab_ERA35[[#Headers],[13%]],2) &amp; "€
            " &amp; ROUND($C19*(1+Tab_ERA35[[#Headers],[13%]]),2) &amp; "€"</f>
        <v>+782,21€
            6799,21€</v>
      </c>
      <c r="AB19" s="12" t="str">
        <f>"+" &amp; ROUND($C19*Tab_ERA35[[#Headers],[13%]],2) &amp; "€
            " &amp; ROUND($C19*(1+Tab_ERA35[[#Headers],[13%]]),2) &amp; "€"</f>
        <v>+782,21€
            6799,21€</v>
      </c>
      <c r="AC19" s="12" t="str">
        <f>"+" &amp; ROUND($C19*Tab_ERA35[[#Headers],[14%]],2) &amp; "€
            " &amp; ROUND($C19*(1+Tab_ERA35[[#Headers],[14%]]),2) &amp; "€"</f>
        <v>+842,38€
            6859,38€</v>
      </c>
      <c r="AD19" s="12" t="str">
        <f>"+" &amp; ROUND($C19*Tab_ERA35[[#Headers],[14%]],2) &amp; "€
            " &amp; ROUND($C19*(1+Tab_ERA35[[#Headers],[14%]]),2) &amp; "€"</f>
        <v>+842,38€
            6859,38€</v>
      </c>
      <c r="AE19" s="12" t="str">
        <f>"+" &amp; ROUND($C19*Tab_ERA35[[#Headers],[15%]],2) &amp; "€
            " &amp; ROUND($C19*(1+Tab_ERA35[[#Headers],[15%]]),2) &amp; "€"</f>
        <v>+902,55€
            6919,55€</v>
      </c>
      <c r="AF19" s="12" t="str">
        <f>"+" &amp; ROUND($C19*Tab_ERA35[[#Headers],[15%]],2) &amp; "€
            " &amp; ROUND($C19*(1+Tab_ERA35[[#Headers],[15%]]),2) &amp; "€"</f>
        <v>+902,55€
            6919,55€</v>
      </c>
      <c r="AG19" s="12" t="str">
        <f>"+" &amp; ROUND($C19*Tab_ERA35[[#Headers],[16%]],2) &amp; "€
            " &amp; ROUND($C19*(1+Tab_ERA35[[#Headers],[16%]]),2) &amp; "€"</f>
        <v>+962,72€
            6979,72€</v>
      </c>
    </row>
    <row r="20" spans="1:33" ht="41.4" x14ac:dyDescent="0.3">
      <c r="A20" s="4" t="s">
        <v>85</v>
      </c>
      <c r="B20" s="5">
        <v>1.865</v>
      </c>
      <c r="C20" s="6">
        <f>MROUND($C$10*Tab_ERA35[[#This Row],[Entgelt-
gruppen-
schlüssel]],0.5)</f>
        <v>6358</v>
      </c>
      <c r="D20" s="12" t="str">
        <f>"+" &amp; ROUND($C20*Tab_ERA35[[#Headers],[1%]],2) &amp; "€
            " &amp; ROUND($C20*(1+Tab_ERA35[[#Headers],[1%]]),2) &amp; "€"</f>
        <v>+63,58€
            6421,58€</v>
      </c>
      <c r="E20" s="12" t="str">
        <f>"+" &amp; ROUND($C20*Tab_ERA35[[#Headers],[2%]],2) &amp; "€
            " &amp; ROUND($C20*(1+Tab_ERA35[[#Headers],[2%]]),2) &amp; "€"</f>
        <v>+127,16€
            6485,16€</v>
      </c>
      <c r="F20" s="12" t="str">
        <f>"+" &amp; ROUND($C20*Tab_ERA35[[#Headers],[2%]],2) &amp; "€
            " &amp; ROUND($C20*(1+Tab_ERA35[[#Headers],[2%]]),2) &amp; "€"</f>
        <v>+127,16€
            6485,16€</v>
      </c>
      <c r="G20" s="12" t="str">
        <f>"+" &amp; ROUND($C20*Tab_ERA35[[#Headers],[3%]],2) &amp; "€
            " &amp; ROUND($C20*(1+Tab_ERA35[[#Headers],[3%]]),2) &amp; "€"</f>
        <v>+190,74€
            6548,74€</v>
      </c>
      <c r="H20" s="12" t="str">
        <f>"+" &amp; ROUND($C20*Tab_ERA35[[#Headers],[3%]],2) &amp; "€
            " &amp; ROUND($C20*(1+Tab_ERA35[[#Headers],[3%]]),2) &amp; "€"</f>
        <v>+190,74€
            6548,74€</v>
      </c>
      <c r="I20" s="12" t="str">
        <f>"+" &amp; ROUND($C20*Tab_ERA35[[#Headers],[4%]],2) &amp; "€
            " &amp; ROUND($C20*(1+Tab_ERA35[[#Headers],[4%]]),2) &amp; "€"</f>
        <v>+254,32€
            6612,32€</v>
      </c>
      <c r="J20" s="12" t="str">
        <f>"+" &amp; ROUND($C20*Tab_ERA35[[#Headers],[4%]],2) &amp; "€
            " &amp; ROUND($C20*(1+Tab_ERA35[[#Headers],[4%]]),2) &amp; "€"</f>
        <v>+254,32€
            6612,32€</v>
      </c>
      <c r="K20" s="12" t="str">
        <f>"+" &amp; ROUND($C20*Tab_ERA35[[#Headers],[5%]],2) &amp; "€
            " &amp; ROUND($C20*(1+Tab_ERA35[[#Headers],[5%]]),2) &amp; "€"</f>
        <v>+317,9€
            6675,9€</v>
      </c>
      <c r="L20" s="12" t="str">
        <f>"+" &amp; ROUND($C20*Tab_ERA35[[#Headers],[5%]],2) &amp; "€
            " &amp; ROUND($C20*(1+Tab_ERA35[[#Headers],[5%]]),2) &amp; "€"</f>
        <v>+317,9€
            6675,9€</v>
      </c>
      <c r="M20" s="12" t="str">
        <f>"+" &amp; ROUND($C20*Tab_ERA35[[#Headers],[6%]],2) &amp; "€
            " &amp; ROUND($C20*(1+Tab_ERA35[[#Headers],[6%]]),2) &amp; "€"</f>
        <v>+381,48€
            6739,48€</v>
      </c>
      <c r="N20" s="12" t="str">
        <f>"+" &amp; ROUND($C20*Tab_ERA35[[#Headers],[6%]],2) &amp; "€
            " &amp; ROUND($C20*(1+Tab_ERA35[[#Headers],[6%]]),2) &amp; "€"</f>
        <v>+381,48€
            6739,48€</v>
      </c>
      <c r="O20" s="12" t="str">
        <f>"+" &amp; ROUND($C20*Tab_ERA35[[#Headers],[7%]],2) &amp; "€
            " &amp; ROUND($C20*(1+Tab_ERA35[[#Headers],[7%]]),2) &amp; "€"</f>
        <v>+445,06€
            6803,06€</v>
      </c>
      <c r="P20" s="12" t="str">
        <f>"+" &amp; ROUND($C20*Tab_ERA35[[#Headers],[7%]],2) &amp; "€
            " &amp; ROUND($C20*(1+Tab_ERA35[[#Headers],[7%]]),2) &amp; "€"</f>
        <v>+445,06€
            6803,06€</v>
      </c>
      <c r="Q20" s="12" t="str">
        <f>"+" &amp; ROUND($C20*Tab_ERA35[[#Headers],[8%]],2) &amp; "€
            " &amp; ROUND($C20*(1+Tab_ERA35[[#Headers],[8%]]),2) &amp; "€"</f>
        <v>+508,64€
            6866,64€</v>
      </c>
      <c r="R20" s="12" t="str">
        <f>"+" &amp; ROUND($C20*Tab_ERA35[[#Headers],[8%]],2) &amp; "€
            " &amp; ROUND($C20*(1+Tab_ERA35[[#Headers],[8%]]),2) &amp; "€"</f>
        <v>+508,64€
            6866,64€</v>
      </c>
      <c r="S20" s="12" t="str">
        <f>"+" &amp; ROUND($C20*Tab_ERA35[[#Headers],[9%]],2) &amp; "€
            " &amp; ROUND($C20*(1+Tab_ERA35[[#Headers],[9%]]),2) &amp; "€"</f>
        <v>+572,22€
            6930,22€</v>
      </c>
      <c r="T20" s="12" t="str">
        <f>"+" &amp; ROUND($C20*Tab_ERA35[[#Headers],[9%]],2) &amp; "€
            " &amp; ROUND($C20*(1+Tab_ERA35[[#Headers],[9%]]),2) &amp; "€"</f>
        <v>+572,22€
            6930,22€</v>
      </c>
      <c r="U20" s="12" t="str">
        <f>"+" &amp; ROUND($C20*Tab_ERA35[[#Headers],[10%]],2) &amp; "€
            " &amp; ROUND($C20*(1+Tab_ERA35[[#Headers],[10%]]),2) &amp; "€"</f>
        <v>+635,8€
            6993,8€</v>
      </c>
      <c r="V20" s="12" t="str">
        <f>"+" &amp; ROUND($C20*Tab_ERA35[[#Headers],[10%]],2) &amp; "€
            " &amp; ROUND($C20*(1+Tab_ERA35[[#Headers],[10%]]),2) &amp; "€"</f>
        <v>+635,8€
            6993,8€</v>
      </c>
      <c r="W20" s="12" t="str">
        <f>"+" &amp; ROUND($C20*Tab_ERA35[[#Headers],[11%]],2) &amp; "€
            " &amp; ROUND($C20*(1+Tab_ERA35[[#Headers],[11%]]),2) &amp; "€"</f>
        <v>+699,38€
            7057,38€</v>
      </c>
      <c r="X20" s="12" t="str">
        <f>"+" &amp; ROUND($C20*Tab_ERA35[[#Headers],[11%]],2) &amp; "€
            " &amp; ROUND($C20*(1+Tab_ERA35[[#Headers],[11%]]),2) &amp; "€"</f>
        <v>+699,38€
            7057,38€</v>
      </c>
      <c r="Y20" s="12" t="str">
        <f>"+" &amp; ROUND($C20*Tab_ERA35[[#Headers],[12%]],2) &amp; "€
            " &amp; ROUND($C20*(1+Tab_ERA35[[#Headers],[12%]]),2) &amp; "€"</f>
        <v>+762,96€
            7120,96€</v>
      </c>
      <c r="Z20" s="12" t="str">
        <f>"+" &amp; ROUND($C20*Tab_ERA35[[#Headers],[12%]],2) &amp; "€
            " &amp; ROUND($C20*(1+Tab_ERA35[[#Headers],[12%]]),2) &amp; "€"</f>
        <v>+762,96€
            7120,96€</v>
      </c>
      <c r="AA20" s="12" t="str">
        <f>"+" &amp; ROUND($C20*Tab_ERA35[[#Headers],[13%]],2) &amp; "€
            " &amp; ROUND($C20*(1+Tab_ERA35[[#Headers],[13%]]),2) &amp; "€"</f>
        <v>+826,54€
            7184,54€</v>
      </c>
      <c r="AB20" s="12" t="str">
        <f>"+" &amp; ROUND($C20*Tab_ERA35[[#Headers],[13%]],2) &amp; "€
            " &amp; ROUND($C20*(1+Tab_ERA35[[#Headers],[13%]]),2) &amp; "€"</f>
        <v>+826,54€
            7184,54€</v>
      </c>
      <c r="AC20" s="12" t="str">
        <f>"+" &amp; ROUND($C20*Tab_ERA35[[#Headers],[14%]],2) &amp; "€
            " &amp; ROUND($C20*(1+Tab_ERA35[[#Headers],[14%]]),2) &amp; "€"</f>
        <v>+890,12€
            7248,12€</v>
      </c>
      <c r="AD20" s="12" t="str">
        <f>"+" &amp; ROUND($C20*Tab_ERA35[[#Headers],[14%]],2) &amp; "€
            " &amp; ROUND($C20*(1+Tab_ERA35[[#Headers],[14%]]),2) &amp; "€"</f>
        <v>+890,12€
            7248,12€</v>
      </c>
      <c r="AE20" s="12" t="str">
        <f>"+" &amp; ROUND($C20*Tab_ERA35[[#Headers],[15%]],2) &amp; "€
            " &amp; ROUND($C20*(1+Tab_ERA35[[#Headers],[15%]]),2) &amp; "€"</f>
        <v>+953,7€
            7311,7€</v>
      </c>
      <c r="AF20" s="12" t="str">
        <f>"+" &amp; ROUND($C20*Tab_ERA35[[#Headers],[15%]],2) &amp; "€
            " &amp; ROUND($C20*(1+Tab_ERA35[[#Headers],[15%]]),2) &amp; "€"</f>
        <v>+953,7€
            7311,7€</v>
      </c>
      <c r="AG20" s="12" t="str">
        <f>"+" &amp; ROUND($C20*Tab_ERA35[[#Headers],[16%]],2) &amp; "€
            " &amp; ROUND($C20*(1+Tab_ERA35[[#Headers],[16%]]),2) &amp; "€"</f>
        <v>+1017,28€
            7375,28€</v>
      </c>
    </row>
    <row r="21" spans="1:33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</row>
    <row r="22" spans="1:33" x14ac:dyDescent="0.3">
      <c r="A22" s="118" t="s">
        <v>167</v>
      </c>
      <c r="B22" s="118"/>
      <c r="C22" s="118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</row>
    <row r="23" spans="1:33" ht="54" x14ac:dyDescent="0.35">
      <c r="A23" s="13" t="s">
        <v>99</v>
      </c>
      <c r="B23" s="13" t="s">
        <v>38</v>
      </c>
      <c r="C23" s="14" t="s">
        <v>37</v>
      </c>
      <c r="D23" s="2" t="s">
        <v>39</v>
      </c>
      <c r="E23" s="2" t="s">
        <v>40</v>
      </c>
      <c r="F23" s="2" t="s">
        <v>41</v>
      </c>
      <c r="G23" s="2" t="s">
        <v>42</v>
      </c>
      <c r="H23" s="2" t="s">
        <v>43</v>
      </c>
      <c r="I23" s="2" t="s">
        <v>44</v>
      </c>
      <c r="J23" s="2" t="s">
        <v>45</v>
      </c>
      <c r="K23" s="2" t="s">
        <v>46</v>
      </c>
      <c r="L23" s="2" t="s">
        <v>47</v>
      </c>
      <c r="M23" s="2" t="s">
        <v>48</v>
      </c>
      <c r="N23" s="2" t="s">
        <v>49</v>
      </c>
      <c r="O23" s="2" t="s">
        <v>50</v>
      </c>
      <c r="P23" s="2" t="s">
        <v>51</v>
      </c>
      <c r="Q23" s="2" t="s">
        <v>52</v>
      </c>
      <c r="R23" s="2" t="s">
        <v>53</v>
      </c>
      <c r="S23" s="2" t="s">
        <v>54</v>
      </c>
      <c r="T23" s="2" t="s">
        <v>55</v>
      </c>
      <c r="U23" s="2" t="s">
        <v>56</v>
      </c>
      <c r="V23" s="2" t="s">
        <v>57</v>
      </c>
      <c r="W23" s="2" t="s">
        <v>58</v>
      </c>
      <c r="X23" s="2" t="s">
        <v>59</v>
      </c>
      <c r="Y23" s="2" t="s">
        <v>60</v>
      </c>
      <c r="Z23" s="2" t="s">
        <v>61</v>
      </c>
      <c r="AA23" s="2" t="s">
        <v>62</v>
      </c>
      <c r="AB23" s="2" t="s">
        <v>63</v>
      </c>
      <c r="AC23" s="2" t="s">
        <v>64</v>
      </c>
      <c r="AD23" s="2" t="s">
        <v>65</v>
      </c>
      <c r="AE23" s="2" t="s">
        <v>66</v>
      </c>
      <c r="AF23" s="2" t="s">
        <v>67</v>
      </c>
      <c r="AG23" s="2" t="s">
        <v>68</v>
      </c>
    </row>
    <row r="24" spans="1:33" ht="41.4" x14ac:dyDescent="0.3">
      <c r="A24" s="7" t="s">
        <v>69</v>
      </c>
      <c r="B24" s="3">
        <v>0.74</v>
      </c>
      <c r="C24" s="6">
        <f t="shared" ref="C24:C40" si="0">C4*160.95/151.25</f>
        <v>2684.2735537190083</v>
      </c>
      <c r="D24" s="12" t="str">
        <f>"+" &amp; ROUND($C24*Tab_ERA37[[#Headers],[1%]],2) &amp; "€
            " &amp; ROUND($C24*(1+Tab_ERA37[[#Headers],[1%]]),2) &amp; "€"</f>
        <v>+26,84€
            2711,12€</v>
      </c>
      <c r="E24" s="12" t="str">
        <f>"+" &amp; ROUND($C24*Tab_ERA37[[#Headers],[2%]],2) &amp; "€
            " &amp; ROUND($C24*(1+Tab_ERA37[[#Headers],[2%]]),2) &amp; "€"</f>
        <v>+53,69€
            2737,96€</v>
      </c>
      <c r="F24" s="12" t="str">
        <f>"+" &amp; ROUND($C24*Tab_ERA37[[#Headers],[2%]],2) &amp; "€
            " &amp; ROUND($C24*(1+Tab_ERA37[[#Headers],[2%]]),2) &amp; "€"</f>
        <v>+53,69€
            2737,96€</v>
      </c>
      <c r="G24" s="12" t="str">
        <f>"+" &amp; ROUND($C24*Tab_ERA37[[#Headers],[3%]],2) &amp; "€
            " &amp; ROUND($C24*(1+Tab_ERA37[[#Headers],[3%]]),2) &amp; "€"</f>
        <v>+80,53€
            2764,8€</v>
      </c>
      <c r="H24" s="12" t="str">
        <f>"+" &amp; ROUND($C24*Tab_ERA37[[#Headers],[3%]],2) &amp; "€
            " &amp; ROUND($C24*(1+Tab_ERA37[[#Headers],[3%]]),2) &amp; "€"</f>
        <v>+80,53€
            2764,8€</v>
      </c>
      <c r="I24" s="12" t="str">
        <f>"+" &amp; ROUND($C24*Tab_ERA37[[#Headers],[4%]],2) &amp; "€
            " &amp; ROUND($C24*(1+Tab_ERA37[[#Headers],[4%]]),2) &amp; "€"</f>
        <v>+107,37€
            2791,64€</v>
      </c>
      <c r="J24" s="12" t="str">
        <f>"+" &amp; ROUND($C24*Tab_ERA37[[#Headers],[4%]],2) &amp; "€
            " &amp; ROUND($C24*(1+Tab_ERA37[[#Headers],[4%]]),2) &amp; "€"</f>
        <v>+107,37€
            2791,64€</v>
      </c>
      <c r="K24" s="12" t="str">
        <f>"+" &amp; ROUND($C24*Tab_ERA37[[#Headers],[5%]],2) &amp; "€
            " &amp; ROUND($C24*(1+Tab_ERA37[[#Headers],[5%]]),2) &amp; "€"</f>
        <v>+134,21€
            2818,49€</v>
      </c>
      <c r="L24" s="12" t="str">
        <f>"+" &amp; ROUND($C24*Tab_ERA37[[#Headers],[5%]],2) &amp; "€
            " &amp; ROUND($C24*(1+Tab_ERA37[[#Headers],[5%]]),2) &amp; "€"</f>
        <v>+134,21€
            2818,49€</v>
      </c>
      <c r="M24" s="12" t="str">
        <f>"+" &amp; ROUND($C24*Tab_ERA37[[#Headers],[6%]],2) &amp; "€
            " &amp; ROUND($C24*(1+Tab_ERA37[[#Headers],[6%]]),2) &amp; "€"</f>
        <v>+161,06€
            2845,33€</v>
      </c>
      <c r="N24" s="12" t="str">
        <f>"+" &amp; ROUND($C24*Tab_ERA37[[#Headers],[6%]],2) &amp; "€
            " &amp; ROUND($C24*(1+Tab_ERA37[[#Headers],[6%]]),2) &amp; "€"</f>
        <v>+161,06€
            2845,33€</v>
      </c>
      <c r="O24" s="12" t="str">
        <f>"+" &amp; ROUND($C24*Tab_ERA37[[#Headers],[7%]],2) &amp; "€
            " &amp; ROUND($C24*(1+Tab_ERA37[[#Headers],[7%]]),2) &amp; "€"</f>
        <v>+187,9€
            2872,17€</v>
      </c>
      <c r="P24" s="12" t="str">
        <f>"+" &amp; ROUND($C24*Tab_ERA37[[#Headers],[7%]],2) &amp; "€
            " &amp; ROUND($C24*(1+Tab_ERA37[[#Headers],[7%]]),2) &amp; "€"</f>
        <v>+187,9€
            2872,17€</v>
      </c>
      <c r="Q24" s="12" t="str">
        <f>"+" &amp; ROUND($C24*Tab_ERA37[[#Headers],[8%]],2) &amp; "€
            " &amp; ROUND($C24*(1+Tab_ERA37[[#Headers],[8%]]),2) &amp; "€"</f>
        <v>+214,74€
            2899,02€</v>
      </c>
      <c r="R24" s="12" t="str">
        <f>"+" &amp; ROUND($C24*Tab_ERA37[[#Headers],[8%]],2) &amp; "€
            " &amp; ROUND($C24*(1+Tab_ERA37[[#Headers],[8%]]),2) &amp; "€"</f>
        <v>+214,74€
            2899,02€</v>
      </c>
      <c r="S24" s="12" t="str">
        <f>"+" &amp; ROUND($C24*Tab_ERA37[[#Headers],[9%]],2) &amp; "€
            " &amp; ROUND($C24*(1+Tab_ERA37[[#Headers],[9%]]),2) &amp; "€"</f>
        <v>+241,58€
            2925,86€</v>
      </c>
      <c r="T24" s="12" t="str">
        <f>"+" &amp; ROUND($C24*Tab_ERA37[[#Headers],[9%]],2) &amp; "€
            " &amp; ROUND($C24*(1+Tab_ERA37[[#Headers],[9%]]),2) &amp; "€"</f>
        <v>+241,58€
            2925,86€</v>
      </c>
      <c r="U24" s="12" t="str">
        <f>"+" &amp; ROUND($C24*Tab_ERA37[[#Headers],[10%]],2) &amp; "€
            " &amp; ROUND($C24*(1+Tab_ERA37[[#Headers],[10%]]),2) &amp; "€"</f>
        <v>+268,43€
            2952,7€</v>
      </c>
      <c r="V24" s="12" t="str">
        <f>"+" &amp; ROUND($C24*Tab_ERA37[[#Headers],[10%]],2) &amp; "€
            " &amp; ROUND($C24*(1+Tab_ERA37[[#Headers],[10%]]),2) &amp; "€"</f>
        <v>+268,43€
            2952,7€</v>
      </c>
      <c r="W24" s="12" t="str">
        <f>"+" &amp; ROUND($C24*Tab_ERA37[[#Headers],[11%]],2) &amp; "€
            " &amp; ROUND($C24*(1+Tab_ERA37[[#Headers],[11%]]),2) &amp; "€"</f>
        <v>+295,27€
            2979,54€</v>
      </c>
      <c r="X24" s="12" t="str">
        <f>"+" &amp; ROUND($C24*Tab_ERA37[[#Headers],[11%]],2) &amp; "€
            " &amp; ROUND($C24*(1+Tab_ERA37[[#Headers],[11%]]),2) &amp; "€"</f>
        <v>+295,27€
            2979,54€</v>
      </c>
      <c r="Y24" s="12" t="str">
        <f>"+" &amp; ROUND($C24*Tab_ERA37[[#Headers],[12%]],2) &amp; "€
            " &amp; ROUND($C24*(1+Tab_ERA37[[#Headers],[12%]]),2) &amp; "€"</f>
        <v>+322,11€
            3006,39€</v>
      </c>
      <c r="Z24" s="12" t="str">
        <f>"+" &amp; ROUND($C24*Tab_ERA37[[#Headers],[12%]],2) &amp; "€
            " &amp; ROUND($C24*(1+Tab_ERA37[[#Headers],[12%]]),2) &amp; "€"</f>
        <v>+322,11€
            3006,39€</v>
      </c>
      <c r="AA24" s="12" t="str">
        <f>"+" &amp; ROUND($C24*Tab_ERA37[[#Headers],[13%]],2) &amp; "€
            " &amp; ROUND($C24*(1+Tab_ERA37[[#Headers],[13%]]),2) &amp; "€"</f>
        <v>+348,96€
            3033,23€</v>
      </c>
      <c r="AB24" s="12" t="str">
        <f>"+" &amp; ROUND($C24*Tab_ERA37[[#Headers],[13%]],2) &amp; "€
            " &amp; ROUND($C24*(1+Tab_ERA37[[#Headers],[13%]]),2) &amp; "€"</f>
        <v>+348,96€
            3033,23€</v>
      </c>
      <c r="AC24" s="12" t="str">
        <f>"+" &amp; ROUND($C24*Tab_ERA37[[#Headers],[14%]],2) &amp; "€
            " &amp; ROUND($C24*(1+Tab_ERA37[[#Headers],[14%]]),2) &amp; "€"</f>
        <v>+375,8€
            3060,07€</v>
      </c>
      <c r="AD24" s="12" t="str">
        <f>"+" &amp; ROUND($C24*Tab_ERA37[[#Headers],[14%]],2) &amp; "€
            " &amp; ROUND($C24*(1+Tab_ERA37[[#Headers],[14%]]),2) &amp; "€"</f>
        <v>+375,8€
            3060,07€</v>
      </c>
      <c r="AE24" s="12" t="str">
        <f>"+" &amp; ROUND($C24*Tab_ERA37[[#Headers],[15%]],2) &amp; "€
            " &amp; ROUND($C24*(1+Tab_ERA37[[#Headers],[15%]]),2) &amp; "€"</f>
        <v>+402,64€
            3086,91€</v>
      </c>
      <c r="AF24" s="12" t="str">
        <f>"+" &amp; ROUND($C24*Tab_ERA37[[#Headers],[15%]],2) &amp; "€
            " &amp; ROUND($C24*(1+Tab_ERA37[[#Headers],[15%]]),2) &amp; "€"</f>
        <v>+402,64€
            3086,91€</v>
      </c>
      <c r="AG24" s="12" t="str">
        <f>"+" &amp; ROUND($C24*Tab_ERA37[[#Headers],[16%]],2) &amp; "€
            " &amp; ROUND($C24*(1+Tab_ERA37[[#Headers],[16%]]),2) &amp; "€"</f>
        <v>+429,48€
            3113,76€</v>
      </c>
    </row>
    <row r="25" spans="1:33" ht="41.4" x14ac:dyDescent="0.3">
      <c r="A25" s="4" t="s">
        <v>70</v>
      </c>
      <c r="B25" s="5">
        <v>0.76</v>
      </c>
      <c r="C25" s="6">
        <f t="shared" si="0"/>
        <v>2757.1666115702478</v>
      </c>
      <c r="D25" s="12" t="str">
        <f>"+" &amp; ROUND($C25*Tab_ERA37[[#Headers],[1%]],2) &amp; "€
            " &amp; ROUND($C25*(1+Tab_ERA37[[#Headers],[1%]]),2) &amp; "€"</f>
        <v>+27,57€
            2784,74€</v>
      </c>
      <c r="E25" s="12" t="str">
        <f>"+" &amp; ROUND($C25*Tab_ERA37[[#Headers],[2%]],2) &amp; "€
            " &amp; ROUND($C25*(1+Tab_ERA37[[#Headers],[2%]]),2) &amp; "€"</f>
        <v>+55,14€
            2812,31€</v>
      </c>
      <c r="F25" s="12" t="str">
        <f>"+" &amp; ROUND($C25*Tab_ERA37[[#Headers],[2%]],2) &amp; "€
            " &amp; ROUND($C25*(1+Tab_ERA37[[#Headers],[2%]]),2) &amp; "€"</f>
        <v>+55,14€
            2812,31€</v>
      </c>
      <c r="G25" s="12" t="str">
        <f>"+" &amp; ROUND($C25*Tab_ERA37[[#Headers],[3%]],2) &amp; "€
            " &amp; ROUND($C25*(1+Tab_ERA37[[#Headers],[3%]]),2) &amp; "€"</f>
        <v>+82,71€
            2839,88€</v>
      </c>
      <c r="H25" s="12" t="str">
        <f>"+" &amp; ROUND($C25*Tab_ERA37[[#Headers],[3%]],2) &amp; "€
            " &amp; ROUND($C25*(1+Tab_ERA37[[#Headers],[3%]]),2) &amp; "€"</f>
        <v>+82,71€
            2839,88€</v>
      </c>
      <c r="I25" s="12" t="str">
        <f>"+" &amp; ROUND($C25*Tab_ERA37[[#Headers],[4%]],2) &amp; "€
            " &amp; ROUND($C25*(1+Tab_ERA37[[#Headers],[4%]]),2) &amp; "€"</f>
        <v>+110,29€
            2867,45€</v>
      </c>
      <c r="J25" s="12" t="str">
        <f>"+" &amp; ROUND($C25*Tab_ERA37[[#Headers],[4%]],2) &amp; "€
            " &amp; ROUND($C25*(1+Tab_ERA37[[#Headers],[4%]]),2) &amp; "€"</f>
        <v>+110,29€
            2867,45€</v>
      </c>
      <c r="K25" s="12" t="str">
        <f>"+" &amp; ROUND($C25*Tab_ERA37[[#Headers],[5%]],2) &amp; "€
            " &amp; ROUND($C25*(1+Tab_ERA37[[#Headers],[5%]]),2) &amp; "€"</f>
        <v>+137,86€
            2895,02€</v>
      </c>
      <c r="L25" s="12" t="str">
        <f>"+" &amp; ROUND($C25*Tab_ERA37[[#Headers],[5%]],2) &amp; "€
            " &amp; ROUND($C25*(1+Tab_ERA37[[#Headers],[5%]]),2) &amp; "€"</f>
        <v>+137,86€
            2895,02€</v>
      </c>
      <c r="M25" s="12" t="str">
        <f>"+" &amp; ROUND($C25*Tab_ERA37[[#Headers],[6%]],2) &amp; "€
            " &amp; ROUND($C25*(1+Tab_ERA37[[#Headers],[6%]]),2) &amp; "€"</f>
        <v>+165,43€
            2922,6€</v>
      </c>
      <c r="N25" s="12" t="str">
        <f>"+" &amp; ROUND($C25*Tab_ERA37[[#Headers],[6%]],2) &amp; "€
            " &amp; ROUND($C25*(1+Tab_ERA37[[#Headers],[6%]]),2) &amp; "€"</f>
        <v>+165,43€
            2922,6€</v>
      </c>
      <c r="O25" s="12" t="str">
        <f>"+" &amp; ROUND($C25*Tab_ERA37[[#Headers],[7%]],2) &amp; "€
            " &amp; ROUND($C25*(1+Tab_ERA37[[#Headers],[7%]]),2) &amp; "€"</f>
        <v>+193€
            2950,17€</v>
      </c>
      <c r="P25" s="12" t="str">
        <f>"+" &amp; ROUND($C25*Tab_ERA37[[#Headers],[7%]],2) &amp; "€
            " &amp; ROUND($C25*(1+Tab_ERA37[[#Headers],[7%]]),2) &amp; "€"</f>
        <v>+193€
            2950,17€</v>
      </c>
      <c r="Q25" s="12" t="str">
        <f>"+" &amp; ROUND($C25*Tab_ERA37[[#Headers],[8%]],2) &amp; "€
            " &amp; ROUND($C25*(1+Tab_ERA37[[#Headers],[8%]]),2) &amp; "€"</f>
        <v>+220,57€
            2977,74€</v>
      </c>
      <c r="R25" s="12" t="str">
        <f>"+" &amp; ROUND($C25*Tab_ERA37[[#Headers],[8%]],2) &amp; "€
            " &amp; ROUND($C25*(1+Tab_ERA37[[#Headers],[8%]]),2) &amp; "€"</f>
        <v>+220,57€
            2977,74€</v>
      </c>
      <c r="S25" s="12" t="str">
        <f>"+" &amp; ROUND($C25*Tab_ERA37[[#Headers],[9%]],2) &amp; "€
            " &amp; ROUND($C25*(1+Tab_ERA37[[#Headers],[9%]]),2) &amp; "€"</f>
        <v>+248,14€
            3005,31€</v>
      </c>
      <c r="T25" s="12" t="str">
        <f>"+" &amp; ROUND($C25*Tab_ERA37[[#Headers],[9%]],2) &amp; "€
            " &amp; ROUND($C25*(1+Tab_ERA37[[#Headers],[9%]]),2) &amp; "€"</f>
        <v>+248,14€
            3005,31€</v>
      </c>
      <c r="U25" s="12" t="str">
        <f>"+" &amp; ROUND($C25*Tab_ERA37[[#Headers],[10%]],2) &amp; "€
            " &amp; ROUND($C25*(1+Tab_ERA37[[#Headers],[10%]]),2) &amp; "€"</f>
        <v>+275,72€
            3032,88€</v>
      </c>
      <c r="V25" s="12" t="str">
        <f>"+" &amp; ROUND($C25*Tab_ERA37[[#Headers],[10%]],2) &amp; "€
            " &amp; ROUND($C25*(1+Tab_ERA37[[#Headers],[10%]]),2) &amp; "€"</f>
        <v>+275,72€
            3032,88€</v>
      </c>
      <c r="W25" s="12" t="str">
        <f>"+" &amp; ROUND($C25*Tab_ERA37[[#Headers],[11%]],2) &amp; "€
            " &amp; ROUND($C25*(1+Tab_ERA37[[#Headers],[11%]]),2) &amp; "€"</f>
        <v>+303,29€
            3060,45€</v>
      </c>
      <c r="X25" s="12" t="str">
        <f>"+" &amp; ROUND($C25*Tab_ERA37[[#Headers],[11%]],2) &amp; "€
            " &amp; ROUND($C25*(1+Tab_ERA37[[#Headers],[11%]]),2) &amp; "€"</f>
        <v>+303,29€
            3060,45€</v>
      </c>
      <c r="Y25" s="12" t="str">
        <f>"+" &amp; ROUND($C25*Tab_ERA37[[#Headers],[12%]],2) &amp; "€
            " &amp; ROUND($C25*(1+Tab_ERA37[[#Headers],[12%]]),2) &amp; "€"</f>
        <v>+330,86€
            3088,03€</v>
      </c>
      <c r="Z25" s="12" t="str">
        <f>"+" &amp; ROUND($C25*Tab_ERA37[[#Headers],[12%]],2) &amp; "€
            " &amp; ROUND($C25*(1+Tab_ERA37[[#Headers],[12%]]),2) &amp; "€"</f>
        <v>+330,86€
            3088,03€</v>
      </c>
      <c r="AA25" s="12" t="str">
        <f>"+" &amp; ROUND($C25*Tab_ERA37[[#Headers],[13%]],2) &amp; "€
            " &amp; ROUND($C25*(1+Tab_ERA37[[#Headers],[13%]]),2) &amp; "€"</f>
        <v>+358,43€
            3115,6€</v>
      </c>
      <c r="AB25" s="12" t="str">
        <f>"+" &amp; ROUND($C25*Tab_ERA37[[#Headers],[13%]],2) &amp; "€
            " &amp; ROUND($C25*(1+Tab_ERA37[[#Headers],[13%]]),2) &amp; "€"</f>
        <v>+358,43€
            3115,6€</v>
      </c>
      <c r="AC25" s="12" t="str">
        <f>"+" &amp; ROUND($C25*Tab_ERA37[[#Headers],[14%]],2) &amp; "€
            " &amp; ROUND($C25*(1+Tab_ERA37[[#Headers],[14%]]),2) &amp; "€"</f>
        <v>+386€
            3143,17€</v>
      </c>
      <c r="AD25" s="12" t="str">
        <f>"+" &amp; ROUND($C25*Tab_ERA37[[#Headers],[14%]],2) &amp; "€
            " &amp; ROUND($C25*(1+Tab_ERA37[[#Headers],[14%]]),2) &amp; "€"</f>
        <v>+386€
            3143,17€</v>
      </c>
      <c r="AE25" s="12" t="str">
        <f>"+" &amp; ROUND($C25*Tab_ERA37[[#Headers],[15%]],2) &amp; "€
            " &amp; ROUND($C25*(1+Tab_ERA37[[#Headers],[15%]]),2) &amp; "€"</f>
        <v>+413,57€
            3170,74€</v>
      </c>
      <c r="AF25" s="12" t="str">
        <f>"+" &amp; ROUND($C25*Tab_ERA37[[#Headers],[15%]],2) &amp; "€
            " &amp; ROUND($C25*(1+Tab_ERA37[[#Headers],[15%]]),2) &amp; "€"</f>
        <v>+413,57€
            3170,74€</v>
      </c>
      <c r="AG25" s="12" t="str">
        <f>"+" &amp; ROUND($C25*Tab_ERA37[[#Headers],[16%]],2) &amp; "€
            " &amp; ROUND($C25*(1+Tab_ERA37[[#Headers],[16%]]),2) &amp; "€"</f>
        <v>+441,15€
            3198,31€</v>
      </c>
    </row>
    <row r="26" spans="1:33" ht="41.4" x14ac:dyDescent="0.3">
      <c r="A26" s="4" t="s">
        <v>71</v>
      </c>
      <c r="B26" s="5">
        <v>0.8</v>
      </c>
      <c r="C26" s="6">
        <f t="shared" si="0"/>
        <v>2901.8885950413219</v>
      </c>
      <c r="D26" s="12" t="str">
        <f>"+" &amp; ROUND($C26*Tab_ERA37[[#Headers],[1%]],2) &amp; "€
            " &amp; ROUND($C26*(1+Tab_ERA37[[#Headers],[1%]]),2) &amp; "€"</f>
        <v>+29,02€
            2930,91€</v>
      </c>
      <c r="E26" s="12" t="str">
        <f>"+" &amp; ROUND($C26*Tab_ERA37[[#Headers],[2%]],2) &amp; "€
            " &amp; ROUND($C26*(1+Tab_ERA37[[#Headers],[2%]]),2) &amp; "€"</f>
        <v>+58,04€
            2959,93€</v>
      </c>
      <c r="F26" s="12" t="str">
        <f>"+" &amp; ROUND($C26*Tab_ERA37[[#Headers],[2%]],2) &amp; "€
            " &amp; ROUND($C26*(1+Tab_ERA37[[#Headers],[2%]]),2) &amp; "€"</f>
        <v>+58,04€
            2959,93€</v>
      </c>
      <c r="G26" s="12" t="str">
        <f>"+" &amp; ROUND($C26*Tab_ERA37[[#Headers],[3%]],2) &amp; "€
            " &amp; ROUND($C26*(1+Tab_ERA37[[#Headers],[3%]]),2) &amp; "€"</f>
        <v>+87,06€
            2988,95€</v>
      </c>
      <c r="H26" s="12" t="str">
        <f>"+" &amp; ROUND($C26*Tab_ERA37[[#Headers],[3%]],2) &amp; "€
            " &amp; ROUND($C26*(1+Tab_ERA37[[#Headers],[3%]]),2) &amp; "€"</f>
        <v>+87,06€
            2988,95€</v>
      </c>
      <c r="I26" s="12" t="str">
        <f>"+" &amp; ROUND($C26*Tab_ERA37[[#Headers],[4%]],2) &amp; "€
            " &amp; ROUND($C26*(1+Tab_ERA37[[#Headers],[4%]]),2) &amp; "€"</f>
        <v>+116,08€
            3017,96€</v>
      </c>
      <c r="J26" s="12" t="str">
        <f>"+" &amp; ROUND($C26*Tab_ERA37[[#Headers],[4%]],2) &amp; "€
            " &amp; ROUND($C26*(1+Tab_ERA37[[#Headers],[4%]]),2) &amp; "€"</f>
        <v>+116,08€
            3017,96€</v>
      </c>
      <c r="K26" s="12" t="str">
        <f>"+" &amp; ROUND($C26*Tab_ERA37[[#Headers],[5%]],2) &amp; "€
            " &amp; ROUND($C26*(1+Tab_ERA37[[#Headers],[5%]]),2) &amp; "€"</f>
        <v>+145,09€
            3046,98€</v>
      </c>
      <c r="L26" s="12" t="str">
        <f>"+" &amp; ROUND($C26*Tab_ERA37[[#Headers],[5%]],2) &amp; "€
            " &amp; ROUND($C26*(1+Tab_ERA37[[#Headers],[5%]]),2) &amp; "€"</f>
        <v>+145,09€
            3046,98€</v>
      </c>
      <c r="M26" s="12" t="str">
        <f>"+" &amp; ROUND($C26*Tab_ERA37[[#Headers],[6%]],2) &amp; "€
            " &amp; ROUND($C26*(1+Tab_ERA37[[#Headers],[6%]]),2) &amp; "€"</f>
        <v>+174,11€
            3076€</v>
      </c>
      <c r="N26" s="12" t="str">
        <f>"+" &amp; ROUND($C26*Tab_ERA37[[#Headers],[6%]],2) &amp; "€
            " &amp; ROUND($C26*(1+Tab_ERA37[[#Headers],[6%]]),2) &amp; "€"</f>
        <v>+174,11€
            3076€</v>
      </c>
      <c r="O26" s="12" t="str">
        <f>"+" &amp; ROUND($C26*Tab_ERA37[[#Headers],[7%]],2) &amp; "€
            " &amp; ROUND($C26*(1+Tab_ERA37[[#Headers],[7%]]),2) &amp; "€"</f>
        <v>+203,13€
            3105,02€</v>
      </c>
      <c r="P26" s="12" t="str">
        <f>"+" &amp; ROUND($C26*Tab_ERA37[[#Headers],[7%]],2) &amp; "€
            " &amp; ROUND($C26*(1+Tab_ERA37[[#Headers],[7%]]),2) &amp; "€"</f>
        <v>+203,13€
            3105,02€</v>
      </c>
      <c r="Q26" s="12" t="str">
        <f>"+" &amp; ROUND($C26*Tab_ERA37[[#Headers],[8%]],2) &amp; "€
            " &amp; ROUND($C26*(1+Tab_ERA37[[#Headers],[8%]]),2) &amp; "€"</f>
        <v>+232,15€
            3134,04€</v>
      </c>
      <c r="R26" s="12" t="str">
        <f>"+" &amp; ROUND($C26*Tab_ERA37[[#Headers],[8%]],2) &amp; "€
            " &amp; ROUND($C26*(1+Tab_ERA37[[#Headers],[8%]]),2) &amp; "€"</f>
        <v>+232,15€
            3134,04€</v>
      </c>
      <c r="S26" s="12" t="str">
        <f>"+" &amp; ROUND($C26*Tab_ERA37[[#Headers],[9%]],2) &amp; "€
            " &amp; ROUND($C26*(1+Tab_ERA37[[#Headers],[9%]]),2) &amp; "€"</f>
        <v>+261,17€
            3163,06€</v>
      </c>
      <c r="T26" s="12" t="str">
        <f>"+" &amp; ROUND($C26*Tab_ERA37[[#Headers],[9%]],2) &amp; "€
            " &amp; ROUND($C26*(1+Tab_ERA37[[#Headers],[9%]]),2) &amp; "€"</f>
        <v>+261,17€
            3163,06€</v>
      </c>
      <c r="U26" s="12" t="str">
        <f>"+" &amp; ROUND($C26*Tab_ERA37[[#Headers],[10%]],2) &amp; "€
            " &amp; ROUND($C26*(1+Tab_ERA37[[#Headers],[10%]]),2) &amp; "€"</f>
        <v>+290,19€
            3192,08€</v>
      </c>
      <c r="V26" s="12" t="str">
        <f>"+" &amp; ROUND($C26*Tab_ERA37[[#Headers],[10%]],2) &amp; "€
            " &amp; ROUND($C26*(1+Tab_ERA37[[#Headers],[10%]]),2) &amp; "€"</f>
        <v>+290,19€
            3192,08€</v>
      </c>
      <c r="W26" s="12" t="str">
        <f>"+" &amp; ROUND($C26*Tab_ERA37[[#Headers],[11%]],2) &amp; "€
            " &amp; ROUND($C26*(1+Tab_ERA37[[#Headers],[11%]]),2) &amp; "€"</f>
        <v>+319,21€
            3221,1€</v>
      </c>
      <c r="X26" s="12" t="str">
        <f>"+" &amp; ROUND($C26*Tab_ERA37[[#Headers],[11%]],2) &amp; "€
            " &amp; ROUND($C26*(1+Tab_ERA37[[#Headers],[11%]]),2) &amp; "€"</f>
        <v>+319,21€
            3221,1€</v>
      </c>
      <c r="Y26" s="12" t="str">
        <f>"+" &amp; ROUND($C26*Tab_ERA37[[#Headers],[12%]],2) &amp; "€
            " &amp; ROUND($C26*(1+Tab_ERA37[[#Headers],[12%]]),2) &amp; "€"</f>
        <v>+348,23€
            3250,12€</v>
      </c>
      <c r="Z26" s="12" t="str">
        <f>"+" &amp; ROUND($C26*Tab_ERA37[[#Headers],[12%]],2) &amp; "€
            " &amp; ROUND($C26*(1+Tab_ERA37[[#Headers],[12%]]),2) &amp; "€"</f>
        <v>+348,23€
            3250,12€</v>
      </c>
      <c r="AA26" s="12" t="str">
        <f>"+" &amp; ROUND($C26*Tab_ERA37[[#Headers],[13%]],2) &amp; "€
            " &amp; ROUND($C26*(1+Tab_ERA37[[#Headers],[13%]]),2) &amp; "€"</f>
        <v>+377,25€
            3279,13€</v>
      </c>
      <c r="AB26" s="12" t="str">
        <f>"+" &amp; ROUND($C26*Tab_ERA37[[#Headers],[13%]],2) &amp; "€
            " &amp; ROUND($C26*(1+Tab_ERA37[[#Headers],[13%]]),2) &amp; "€"</f>
        <v>+377,25€
            3279,13€</v>
      </c>
      <c r="AC26" s="12" t="str">
        <f>"+" &amp; ROUND($C26*Tab_ERA37[[#Headers],[14%]],2) &amp; "€
            " &amp; ROUND($C26*(1+Tab_ERA37[[#Headers],[14%]]),2) &amp; "€"</f>
        <v>+406,26€
            3308,15€</v>
      </c>
      <c r="AD26" s="12" t="str">
        <f>"+" &amp; ROUND($C26*Tab_ERA37[[#Headers],[14%]],2) &amp; "€
            " &amp; ROUND($C26*(1+Tab_ERA37[[#Headers],[14%]]),2) &amp; "€"</f>
        <v>+406,26€
            3308,15€</v>
      </c>
      <c r="AE26" s="12" t="str">
        <f>"+" &amp; ROUND($C26*Tab_ERA37[[#Headers],[15%]],2) &amp; "€
            " &amp; ROUND($C26*(1+Tab_ERA37[[#Headers],[15%]]),2) &amp; "€"</f>
        <v>+435,28€
            3337,17€</v>
      </c>
      <c r="AF26" s="12" t="str">
        <f>"+" &amp; ROUND($C26*Tab_ERA37[[#Headers],[15%]],2) &amp; "€
            " &amp; ROUND($C26*(1+Tab_ERA37[[#Headers],[15%]]),2) &amp; "€"</f>
        <v>+435,28€
            3337,17€</v>
      </c>
      <c r="AG26" s="12" t="str">
        <f>"+" &amp; ROUND($C26*Tab_ERA37[[#Headers],[16%]],2) &amp; "€
            " &amp; ROUND($C26*(1+Tab_ERA37[[#Headers],[16%]]),2) &amp; "€"</f>
        <v>+464,3€
            3366,19€</v>
      </c>
    </row>
    <row r="27" spans="1:33" ht="41.4" x14ac:dyDescent="0.3">
      <c r="A27" s="4" t="s">
        <v>72</v>
      </c>
      <c r="B27" s="5">
        <v>0.84</v>
      </c>
      <c r="C27" s="6">
        <f t="shared" si="0"/>
        <v>3047.1426446280989</v>
      </c>
      <c r="D27" s="12" t="str">
        <f>"+" &amp; ROUND($C27*Tab_ERA37[[#Headers],[1%]],2) &amp; "€
            " &amp; ROUND($C27*(1+Tab_ERA37[[#Headers],[1%]]),2) &amp; "€"</f>
        <v>+30,47€
            3077,61€</v>
      </c>
      <c r="E27" s="12" t="str">
        <f>"+" &amp; ROUND($C27*Tab_ERA37[[#Headers],[2%]],2) &amp; "€
            " &amp; ROUND($C27*(1+Tab_ERA37[[#Headers],[2%]]),2) &amp; "€"</f>
        <v>+60,94€
            3108,09€</v>
      </c>
      <c r="F27" s="12" t="str">
        <f>"+" &amp; ROUND($C27*Tab_ERA37[[#Headers],[2%]],2) &amp; "€
            " &amp; ROUND($C27*(1+Tab_ERA37[[#Headers],[2%]]),2) &amp; "€"</f>
        <v>+60,94€
            3108,09€</v>
      </c>
      <c r="G27" s="12" t="str">
        <f>"+" &amp; ROUND($C27*Tab_ERA37[[#Headers],[3%]],2) &amp; "€
            " &amp; ROUND($C27*(1+Tab_ERA37[[#Headers],[3%]]),2) &amp; "€"</f>
        <v>+91,41€
            3138,56€</v>
      </c>
      <c r="H27" s="12" t="str">
        <f>"+" &amp; ROUND($C27*Tab_ERA37[[#Headers],[3%]],2) &amp; "€
            " &amp; ROUND($C27*(1+Tab_ERA37[[#Headers],[3%]]),2) &amp; "€"</f>
        <v>+91,41€
            3138,56€</v>
      </c>
      <c r="I27" s="12" t="str">
        <f>"+" &amp; ROUND($C27*Tab_ERA37[[#Headers],[4%]],2) &amp; "€
            " &amp; ROUND($C27*(1+Tab_ERA37[[#Headers],[4%]]),2) &amp; "€"</f>
        <v>+121,89€
            3169,03€</v>
      </c>
      <c r="J27" s="12" t="str">
        <f>"+" &amp; ROUND($C27*Tab_ERA37[[#Headers],[4%]],2) &amp; "€
            " &amp; ROUND($C27*(1+Tab_ERA37[[#Headers],[4%]]),2) &amp; "€"</f>
        <v>+121,89€
            3169,03€</v>
      </c>
      <c r="K27" s="12" t="str">
        <f>"+" &amp; ROUND($C27*Tab_ERA37[[#Headers],[5%]],2) &amp; "€
            " &amp; ROUND($C27*(1+Tab_ERA37[[#Headers],[5%]]),2) &amp; "€"</f>
        <v>+152,36€
            3199,5€</v>
      </c>
      <c r="L27" s="12" t="str">
        <f>"+" &amp; ROUND($C27*Tab_ERA37[[#Headers],[5%]],2) &amp; "€
            " &amp; ROUND($C27*(1+Tab_ERA37[[#Headers],[5%]]),2) &amp; "€"</f>
        <v>+152,36€
            3199,5€</v>
      </c>
      <c r="M27" s="12" t="str">
        <f>"+" &amp; ROUND($C27*Tab_ERA37[[#Headers],[6%]],2) &amp; "€
            " &amp; ROUND($C27*(1+Tab_ERA37[[#Headers],[6%]]),2) &amp; "€"</f>
        <v>+182,83€
            3229,97€</v>
      </c>
      <c r="N27" s="12" t="str">
        <f>"+" &amp; ROUND($C27*Tab_ERA37[[#Headers],[6%]],2) &amp; "€
            " &amp; ROUND($C27*(1+Tab_ERA37[[#Headers],[6%]]),2) &amp; "€"</f>
        <v>+182,83€
            3229,97€</v>
      </c>
      <c r="O27" s="12" t="str">
        <f>"+" &amp; ROUND($C27*Tab_ERA37[[#Headers],[7%]],2) &amp; "€
            " &amp; ROUND($C27*(1+Tab_ERA37[[#Headers],[7%]]),2) &amp; "€"</f>
        <v>+213,3€
            3260,44€</v>
      </c>
      <c r="P27" s="12" t="str">
        <f>"+" &amp; ROUND($C27*Tab_ERA37[[#Headers],[7%]],2) &amp; "€
            " &amp; ROUND($C27*(1+Tab_ERA37[[#Headers],[7%]]),2) &amp; "€"</f>
        <v>+213,3€
            3260,44€</v>
      </c>
      <c r="Q27" s="12" t="str">
        <f>"+" &amp; ROUND($C27*Tab_ERA37[[#Headers],[8%]],2) &amp; "€
            " &amp; ROUND($C27*(1+Tab_ERA37[[#Headers],[8%]]),2) &amp; "€"</f>
        <v>+243,77€
            3290,91€</v>
      </c>
      <c r="R27" s="12" t="str">
        <f>"+" &amp; ROUND($C27*Tab_ERA37[[#Headers],[8%]],2) &amp; "€
            " &amp; ROUND($C27*(1+Tab_ERA37[[#Headers],[8%]]),2) &amp; "€"</f>
        <v>+243,77€
            3290,91€</v>
      </c>
      <c r="S27" s="12" t="str">
        <f>"+" &amp; ROUND($C27*Tab_ERA37[[#Headers],[9%]],2) &amp; "€
            " &amp; ROUND($C27*(1+Tab_ERA37[[#Headers],[9%]]),2) &amp; "€"</f>
        <v>+274,24€
            3321,39€</v>
      </c>
      <c r="T27" s="12" t="str">
        <f>"+" &amp; ROUND($C27*Tab_ERA37[[#Headers],[9%]],2) &amp; "€
            " &amp; ROUND($C27*(1+Tab_ERA37[[#Headers],[9%]]),2) &amp; "€"</f>
        <v>+274,24€
            3321,39€</v>
      </c>
      <c r="U27" s="12" t="str">
        <f>"+" &amp; ROUND($C27*Tab_ERA37[[#Headers],[10%]],2) &amp; "€
            " &amp; ROUND($C27*(1+Tab_ERA37[[#Headers],[10%]]),2) &amp; "€"</f>
        <v>+304,71€
            3351,86€</v>
      </c>
      <c r="V27" s="12" t="str">
        <f>"+" &amp; ROUND($C27*Tab_ERA37[[#Headers],[10%]],2) &amp; "€
            " &amp; ROUND($C27*(1+Tab_ERA37[[#Headers],[10%]]),2) &amp; "€"</f>
        <v>+304,71€
            3351,86€</v>
      </c>
      <c r="W27" s="12" t="str">
        <f>"+" &amp; ROUND($C27*Tab_ERA37[[#Headers],[11%]],2) &amp; "€
            " &amp; ROUND($C27*(1+Tab_ERA37[[#Headers],[11%]]),2) &amp; "€"</f>
        <v>+335,19€
            3382,33€</v>
      </c>
      <c r="X27" s="12" t="str">
        <f>"+" &amp; ROUND($C27*Tab_ERA37[[#Headers],[11%]],2) &amp; "€
            " &amp; ROUND($C27*(1+Tab_ERA37[[#Headers],[11%]]),2) &amp; "€"</f>
        <v>+335,19€
            3382,33€</v>
      </c>
      <c r="Y27" s="12" t="str">
        <f>"+" &amp; ROUND($C27*Tab_ERA37[[#Headers],[12%]],2) &amp; "€
            " &amp; ROUND($C27*(1+Tab_ERA37[[#Headers],[12%]]),2) &amp; "€"</f>
        <v>+365,66€
            3412,8€</v>
      </c>
      <c r="Z27" s="12" t="str">
        <f>"+" &amp; ROUND($C27*Tab_ERA37[[#Headers],[12%]],2) &amp; "€
            " &amp; ROUND($C27*(1+Tab_ERA37[[#Headers],[12%]]),2) &amp; "€"</f>
        <v>+365,66€
            3412,8€</v>
      </c>
      <c r="AA27" s="12" t="str">
        <f>"+" &amp; ROUND($C27*Tab_ERA37[[#Headers],[13%]],2) &amp; "€
            " &amp; ROUND($C27*(1+Tab_ERA37[[#Headers],[13%]]),2) &amp; "€"</f>
        <v>+396,13€
            3443,27€</v>
      </c>
      <c r="AB27" s="12" t="str">
        <f>"+" &amp; ROUND($C27*Tab_ERA37[[#Headers],[13%]],2) &amp; "€
            " &amp; ROUND($C27*(1+Tab_ERA37[[#Headers],[13%]]),2) &amp; "€"</f>
        <v>+396,13€
            3443,27€</v>
      </c>
      <c r="AC27" s="12" t="str">
        <f>"+" &amp; ROUND($C27*Tab_ERA37[[#Headers],[14%]],2) &amp; "€
            " &amp; ROUND($C27*(1+Tab_ERA37[[#Headers],[14%]]),2) &amp; "€"</f>
        <v>+426,6€
            3473,74€</v>
      </c>
      <c r="AD27" s="12" t="str">
        <f>"+" &amp; ROUND($C27*Tab_ERA37[[#Headers],[14%]],2) &amp; "€
            " &amp; ROUND($C27*(1+Tab_ERA37[[#Headers],[14%]]),2) &amp; "€"</f>
        <v>+426,6€
            3473,74€</v>
      </c>
      <c r="AE27" s="12" t="str">
        <f>"+" &amp; ROUND($C27*Tab_ERA37[[#Headers],[15%]],2) &amp; "€
            " &amp; ROUND($C27*(1+Tab_ERA37[[#Headers],[15%]]),2) &amp; "€"</f>
        <v>+457,07€
            3504,21€</v>
      </c>
      <c r="AF27" s="12" t="str">
        <f>"+" &amp; ROUND($C27*Tab_ERA37[[#Headers],[15%]],2) &amp; "€
            " &amp; ROUND($C27*(1+Tab_ERA37[[#Headers],[15%]]),2) &amp; "€"</f>
        <v>+457,07€
            3504,21€</v>
      </c>
      <c r="AG27" s="12" t="str">
        <f>"+" &amp; ROUND($C27*Tab_ERA37[[#Headers],[16%]],2) &amp; "€
            " &amp; ROUND($C27*(1+Tab_ERA37[[#Headers],[16%]]),2) &amp; "€"</f>
        <v>+487,54€
            3534,69€</v>
      </c>
    </row>
    <row r="28" spans="1:33" ht="41.4" x14ac:dyDescent="0.3">
      <c r="A28" s="4" t="s">
        <v>73</v>
      </c>
      <c r="B28" s="5">
        <v>0.89</v>
      </c>
      <c r="C28" s="6">
        <f t="shared" si="0"/>
        <v>3228.5771900826444</v>
      </c>
      <c r="D28" s="12" t="str">
        <f>"+" &amp; ROUND($C28*Tab_ERA37[[#Headers],[1%]],2) &amp; "€
            " &amp; ROUND($C28*(1+Tab_ERA37[[#Headers],[1%]]),2) &amp; "€"</f>
        <v>+32,29€
            3260,86€</v>
      </c>
      <c r="E28" s="12" t="str">
        <f>"+" &amp; ROUND($C28*Tab_ERA37[[#Headers],[2%]],2) &amp; "€
            " &amp; ROUND($C28*(1+Tab_ERA37[[#Headers],[2%]]),2) &amp; "€"</f>
        <v>+64,57€
            3293,15€</v>
      </c>
      <c r="F28" s="12" t="str">
        <f>"+" &amp; ROUND($C28*Tab_ERA37[[#Headers],[2%]],2) &amp; "€
            " &amp; ROUND($C28*(1+Tab_ERA37[[#Headers],[2%]]),2) &amp; "€"</f>
        <v>+64,57€
            3293,15€</v>
      </c>
      <c r="G28" s="12" t="str">
        <f>"+" &amp; ROUND($C28*Tab_ERA37[[#Headers],[3%]],2) &amp; "€
            " &amp; ROUND($C28*(1+Tab_ERA37[[#Headers],[3%]]),2) &amp; "€"</f>
        <v>+96,86€
            3325,43€</v>
      </c>
      <c r="H28" s="12" t="str">
        <f>"+" &amp; ROUND($C28*Tab_ERA37[[#Headers],[3%]],2) &amp; "€
            " &amp; ROUND($C28*(1+Tab_ERA37[[#Headers],[3%]]),2) &amp; "€"</f>
        <v>+96,86€
            3325,43€</v>
      </c>
      <c r="I28" s="12" t="str">
        <f>"+" &amp; ROUND($C28*Tab_ERA37[[#Headers],[4%]],2) &amp; "€
            " &amp; ROUND($C28*(1+Tab_ERA37[[#Headers],[4%]]),2) &amp; "€"</f>
        <v>+129,14€
            3357,72€</v>
      </c>
      <c r="J28" s="12" t="str">
        <f>"+" &amp; ROUND($C28*Tab_ERA37[[#Headers],[4%]],2) &amp; "€
            " &amp; ROUND($C28*(1+Tab_ERA37[[#Headers],[4%]]),2) &amp; "€"</f>
        <v>+129,14€
            3357,72€</v>
      </c>
      <c r="K28" s="12" t="str">
        <f>"+" &amp; ROUND($C28*Tab_ERA37[[#Headers],[5%]],2) &amp; "€
            " &amp; ROUND($C28*(1+Tab_ERA37[[#Headers],[5%]]),2) &amp; "€"</f>
        <v>+161,43€
            3390,01€</v>
      </c>
      <c r="L28" s="12" t="str">
        <f>"+" &amp; ROUND($C28*Tab_ERA37[[#Headers],[5%]],2) &amp; "€
            " &amp; ROUND($C28*(1+Tab_ERA37[[#Headers],[5%]]),2) &amp; "€"</f>
        <v>+161,43€
            3390,01€</v>
      </c>
      <c r="M28" s="12" t="str">
        <f>"+" &amp; ROUND($C28*Tab_ERA37[[#Headers],[6%]],2) &amp; "€
            " &amp; ROUND($C28*(1+Tab_ERA37[[#Headers],[6%]]),2) &amp; "€"</f>
        <v>+193,71€
            3422,29€</v>
      </c>
      <c r="N28" s="12" t="str">
        <f>"+" &amp; ROUND($C28*Tab_ERA37[[#Headers],[6%]],2) &amp; "€
            " &amp; ROUND($C28*(1+Tab_ERA37[[#Headers],[6%]]),2) &amp; "€"</f>
        <v>+193,71€
            3422,29€</v>
      </c>
      <c r="O28" s="12" t="str">
        <f>"+" &amp; ROUND($C28*Tab_ERA37[[#Headers],[7%]],2) &amp; "€
            " &amp; ROUND($C28*(1+Tab_ERA37[[#Headers],[7%]]),2) &amp; "€"</f>
        <v>+226€
            3454,58€</v>
      </c>
      <c r="P28" s="12" t="str">
        <f>"+" &amp; ROUND($C28*Tab_ERA37[[#Headers],[7%]],2) &amp; "€
            " &amp; ROUND($C28*(1+Tab_ERA37[[#Headers],[7%]]),2) &amp; "€"</f>
        <v>+226€
            3454,58€</v>
      </c>
      <c r="Q28" s="12" t="str">
        <f>"+" &amp; ROUND($C28*Tab_ERA37[[#Headers],[8%]],2) &amp; "€
            " &amp; ROUND($C28*(1+Tab_ERA37[[#Headers],[8%]]),2) &amp; "€"</f>
        <v>+258,29€
            3486,86€</v>
      </c>
      <c r="R28" s="12" t="str">
        <f>"+" &amp; ROUND($C28*Tab_ERA37[[#Headers],[8%]],2) &amp; "€
            " &amp; ROUND($C28*(1+Tab_ERA37[[#Headers],[8%]]),2) &amp; "€"</f>
        <v>+258,29€
            3486,86€</v>
      </c>
      <c r="S28" s="12" t="str">
        <f>"+" &amp; ROUND($C28*Tab_ERA37[[#Headers],[9%]],2) &amp; "€
            " &amp; ROUND($C28*(1+Tab_ERA37[[#Headers],[9%]]),2) &amp; "€"</f>
        <v>+290,57€
            3519,15€</v>
      </c>
      <c r="T28" s="12" t="str">
        <f>"+" &amp; ROUND($C28*Tab_ERA37[[#Headers],[9%]],2) &amp; "€
            " &amp; ROUND($C28*(1+Tab_ERA37[[#Headers],[9%]]),2) &amp; "€"</f>
        <v>+290,57€
            3519,15€</v>
      </c>
      <c r="U28" s="12" t="str">
        <f>"+" &amp; ROUND($C28*Tab_ERA37[[#Headers],[10%]],2) &amp; "€
            " &amp; ROUND($C28*(1+Tab_ERA37[[#Headers],[10%]]),2) &amp; "€"</f>
        <v>+322,86€
            3551,43€</v>
      </c>
      <c r="V28" s="12" t="str">
        <f>"+" &amp; ROUND($C28*Tab_ERA37[[#Headers],[10%]],2) &amp; "€
            " &amp; ROUND($C28*(1+Tab_ERA37[[#Headers],[10%]]),2) &amp; "€"</f>
        <v>+322,86€
            3551,43€</v>
      </c>
      <c r="W28" s="12" t="str">
        <f>"+" &amp; ROUND($C28*Tab_ERA37[[#Headers],[11%]],2) &amp; "€
            " &amp; ROUND($C28*(1+Tab_ERA37[[#Headers],[11%]]),2) &amp; "€"</f>
        <v>+355,14€
            3583,72€</v>
      </c>
      <c r="X28" s="12" t="str">
        <f>"+" &amp; ROUND($C28*Tab_ERA37[[#Headers],[11%]],2) &amp; "€
            " &amp; ROUND($C28*(1+Tab_ERA37[[#Headers],[11%]]),2) &amp; "€"</f>
        <v>+355,14€
            3583,72€</v>
      </c>
      <c r="Y28" s="12" t="str">
        <f>"+" &amp; ROUND($C28*Tab_ERA37[[#Headers],[12%]],2) &amp; "€
            " &amp; ROUND($C28*(1+Tab_ERA37[[#Headers],[12%]]),2) &amp; "€"</f>
        <v>+387,43€
            3616,01€</v>
      </c>
      <c r="Z28" s="12" t="str">
        <f>"+" &amp; ROUND($C28*Tab_ERA37[[#Headers],[12%]],2) &amp; "€
            " &amp; ROUND($C28*(1+Tab_ERA37[[#Headers],[12%]]),2) &amp; "€"</f>
        <v>+387,43€
            3616,01€</v>
      </c>
      <c r="AA28" s="12" t="str">
        <f>"+" &amp; ROUND($C28*Tab_ERA37[[#Headers],[13%]],2) &amp; "€
            " &amp; ROUND($C28*(1+Tab_ERA37[[#Headers],[13%]]),2) &amp; "€"</f>
        <v>+419,72€
            3648,29€</v>
      </c>
      <c r="AB28" s="12" t="str">
        <f>"+" &amp; ROUND($C28*Tab_ERA37[[#Headers],[13%]],2) &amp; "€
            " &amp; ROUND($C28*(1+Tab_ERA37[[#Headers],[13%]]),2) &amp; "€"</f>
        <v>+419,72€
            3648,29€</v>
      </c>
      <c r="AC28" s="12" t="str">
        <f>"+" &amp; ROUND($C28*Tab_ERA37[[#Headers],[14%]],2) &amp; "€
            " &amp; ROUND($C28*(1+Tab_ERA37[[#Headers],[14%]]),2) &amp; "€"</f>
        <v>+452€
            3680,58€</v>
      </c>
      <c r="AD28" s="12" t="str">
        <f>"+" &amp; ROUND($C28*Tab_ERA37[[#Headers],[14%]],2) &amp; "€
            " &amp; ROUND($C28*(1+Tab_ERA37[[#Headers],[14%]]),2) &amp; "€"</f>
        <v>+452€
            3680,58€</v>
      </c>
      <c r="AE28" s="12" t="str">
        <f>"+" &amp; ROUND($C28*Tab_ERA37[[#Headers],[15%]],2) &amp; "€
            " &amp; ROUND($C28*(1+Tab_ERA37[[#Headers],[15%]]),2) &amp; "€"</f>
        <v>+484,29€
            3712,86€</v>
      </c>
      <c r="AF28" s="12" t="str">
        <f>"+" &amp; ROUND($C28*Tab_ERA37[[#Headers],[15%]],2) &amp; "€
            " &amp; ROUND($C28*(1+Tab_ERA37[[#Headers],[15%]]),2) &amp; "€"</f>
        <v>+484,29€
            3712,86€</v>
      </c>
      <c r="AG28" s="12" t="str">
        <f>"+" &amp; ROUND($C28*Tab_ERA37[[#Headers],[16%]],2) &amp; "€
            " &amp; ROUND($C28*(1+Tab_ERA37[[#Headers],[16%]]),2) &amp; "€"</f>
        <v>+516,57€
            3745,15€</v>
      </c>
    </row>
    <row r="29" spans="1:33" ht="41.4" x14ac:dyDescent="0.3">
      <c r="A29" s="4" t="s">
        <v>74</v>
      </c>
      <c r="B29" s="5">
        <v>0.94</v>
      </c>
      <c r="C29" s="6">
        <f t="shared" si="0"/>
        <v>3410.0117355371899</v>
      </c>
      <c r="D29" s="12" t="str">
        <f>"+" &amp; ROUND($C29*Tab_ERA37[[#Headers],[1%]],2) &amp; "€
            " &amp; ROUND($C29*(1+Tab_ERA37[[#Headers],[1%]]),2) &amp; "€"</f>
        <v>+34,1€
            3444,11€</v>
      </c>
      <c r="E29" s="12" t="str">
        <f>"+" &amp; ROUND($C29*Tab_ERA37[[#Headers],[2%]],2) &amp; "€
            " &amp; ROUND($C29*(1+Tab_ERA37[[#Headers],[2%]]),2) &amp; "€"</f>
        <v>+68,2€
            3478,21€</v>
      </c>
      <c r="F29" s="12" t="str">
        <f>"+" &amp; ROUND($C29*Tab_ERA37[[#Headers],[2%]],2) &amp; "€
            " &amp; ROUND($C29*(1+Tab_ERA37[[#Headers],[2%]]),2) &amp; "€"</f>
        <v>+68,2€
            3478,21€</v>
      </c>
      <c r="G29" s="12" t="str">
        <f>"+" &amp; ROUND($C29*Tab_ERA37[[#Headers],[3%]],2) &amp; "€
            " &amp; ROUND($C29*(1+Tab_ERA37[[#Headers],[3%]]),2) &amp; "€"</f>
        <v>+102,3€
            3512,31€</v>
      </c>
      <c r="H29" s="12" t="str">
        <f>"+" &amp; ROUND($C29*Tab_ERA37[[#Headers],[3%]],2) &amp; "€
            " &amp; ROUND($C29*(1+Tab_ERA37[[#Headers],[3%]]),2) &amp; "€"</f>
        <v>+102,3€
            3512,31€</v>
      </c>
      <c r="I29" s="12" t="str">
        <f>"+" &amp; ROUND($C29*Tab_ERA37[[#Headers],[4%]],2) &amp; "€
            " &amp; ROUND($C29*(1+Tab_ERA37[[#Headers],[4%]]),2) &amp; "€"</f>
        <v>+136,4€
            3546,41€</v>
      </c>
      <c r="J29" s="12" t="str">
        <f>"+" &amp; ROUND($C29*Tab_ERA37[[#Headers],[4%]],2) &amp; "€
            " &amp; ROUND($C29*(1+Tab_ERA37[[#Headers],[4%]]),2) &amp; "€"</f>
        <v>+136,4€
            3546,41€</v>
      </c>
      <c r="K29" s="12" t="str">
        <f>"+" &amp; ROUND($C29*Tab_ERA37[[#Headers],[5%]],2) &amp; "€
            " &amp; ROUND($C29*(1+Tab_ERA37[[#Headers],[5%]]),2) &amp; "€"</f>
        <v>+170,5€
            3580,51€</v>
      </c>
      <c r="L29" s="12" t="str">
        <f>"+" &amp; ROUND($C29*Tab_ERA37[[#Headers],[5%]],2) &amp; "€
            " &amp; ROUND($C29*(1+Tab_ERA37[[#Headers],[5%]]),2) &amp; "€"</f>
        <v>+170,5€
            3580,51€</v>
      </c>
      <c r="M29" s="12" t="str">
        <f>"+" &amp; ROUND($C29*Tab_ERA37[[#Headers],[6%]],2) &amp; "€
            " &amp; ROUND($C29*(1+Tab_ERA37[[#Headers],[6%]]),2) &amp; "€"</f>
        <v>+204,6€
            3614,61€</v>
      </c>
      <c r="N29" s="12" t="str">
        <f>"+" &amp; ROUND($C29*Tab_ERA37[[#Headers],[6%]],2) &amp; "€
            " &amp; ROUND($C29*(1+Tab_ERA37[[#Headers],[6%]]),2) &amp; "€"</f>
        <v>+204,6€
            3614,61€</v>
      </c>
      <c r="O29" s="12" t="str">
        <f>"+" &amp; ROUND($C29*Tab_ERA37[[#Headers],[7%]],2) &amp; "€
            " &amp; ROUND($C29*(1+Tab_ERA37[[#Headers],[7%]]),2) &amp; "€"</f>
        <v>+238,7€
            3648,71€</v>
      </c>
      <c r="P29" s="12" t="str">
        <f>"+" &amp; ROUND($C29*Tab_ERA37[[#Headers],[7%]],2) &amp; "€
            " &amp; ROUND($C29*(1+Tab_ERA37[[#Headers],[7%]]),2) &amp; "€"</f>
        <v>+238,7€
            3648,71€</v>
      </c>
      <c r="Q29" s="12" t="str">
        <f>"+" &amp; ROUND($C29*Tab_ERA37[[#Headers],[8%]],2) &amp; "€
            " &amp; ROUND($C29*(1+Tab_ERA37[[#Headers],[8%]]),2) &amp; "€"</f>
        <v>+272,8€
            3682,81€</v>
      </c>
      <c r="R29" s="12" t="str">
        <f>"+" &amp; ROUND($C29*Tab_ERA37[[#Headers],[8%]],2) &amp; "€
            " &amp; ROUND($C29*(1+Tab_ERA37[[#Headers],[8%]]),2) &amp; "€"</f>
        <v>+272,8€
            3682,81€</v>
      </c>
      <c r="S29" s="12" t="str">
        <f>"+" &amp; ROUND($C29*Tab_ERA37[[#Headers],[9%]],2) &amp; "€
            " &amp; ROUND($C29*(1+Tab_ERA37[[#Headers],[9%]]),2) &amp; "€"</f>
        <v>+306,9€
            3716,91€</v>
      </c>
      <c r="T29" s="12" t="str">
        <f>"+" &amp; ROUND($C29*Tab_ERA37[[#Headers],[9%]],2) &amp; "€
            " &amp; ROUND($C29*(1+Tab_ERA37[[#Headers],[9%]]),2) &amp; "€"</f>
        <v>+306,9€
            3716,91€</v>
      </c>
      <c r="U29" s="12" t="str">
        <f>"+" &amp; ROUND($C29*Tab_ERA37[[#Headers],[10%]],2) &amp; "€
            " &amp; ROUND($C29*(1+Tab_ERA37[[#Headers],[10%]]),2) &amp; "€"</f>
        <v>+341€
            3751,01€</v>
      </c>
      <c r="V29" s="12" t="str">
        <f>"+" &amp; ROUND($C29*Tab_ERA37[[#Headers],[10%]],2) &amp; "€
            " &amp; ROUND($C29*(1+Tab_ERA37[[#Headers],[10%]]),2) &amp; "€"</f>
        <v>+341€
            3751,01€</v>
      </c>
      <c r="W29" s="12" t="str">
        <f>"+" &amp; ROUND($C29*Tab_ERA37[[#Headers],[11%]],2) &amp; "€
            " &amp; ROUND($C29*(1+Tab_ERA37[[#Headers],[11%]]),2) &amp; "€"</f>
        <v>+375,1€
            3785,11€</v>
      </c>
      <c r="X29" s="12" t="str">
        <f>"+" &amp; ROUND($C29*Tab_ERA37[[#Headers],[11%]],2) &amp; "€
            " &amp; ROUND($C29*(1+Tab_ERA37[[#Headers],[11%]]),2) &amp; "€"</f>
        <v>+375,1€
            3785,11€</v>
      </c>
      <c r="Y29" s="12" t="str">
        <f>"+" &amp; ROUND($C29*Tab_ERA37[[#Headers],[12%]],2) &amp; "€
            " &amp; ROUND($C29*(1+Tab_ERA37[[#Headers],[12%]]),2) &amp; "€"</f>
        <v>+409,2€
            3819,21€</v>
      </c>
      <c r="Z29" s="12" t="str">
        <f>"+" &amp; ROUND($C29*Tab_ERA37[[#Headers],[12%]],2) &amp; "€
            " &amp; ROUND($C29*(1+Tab_ERA37[[#Headers],[12%]]),2) &amp; "€"</f>
        <v>+409,2€
            3819,21€</v>
      </c>
      <c r="AA29" s="12" t="str">
        <f>"+" &amp; ROUND($C29*Tab_ERA37[[#Headers],[13%]],2) &amp; "€
            " &amp; ROUND($C29*(1+Tab_ERA37[[#Headers],[13%]]),2) &amp; "€"</f>
        <v>+443,3€
            3853,31€</v>
      </c>
      <c r="AB29" s="12" t="str">
        <f>"+" &amp; ROUND($C29*Tab_ERA37[[#Headers],[13%]],2) &amp; "€
            " &amp; ROUND($C29*(1+Tab_ERA37[[#Headers],[13%]]),2) &amp; "€"</f>
        <v>+443,3€
            3853,31€</v>
      </c>
      <c r="AC29" s="12" t="str">
        <f>"+" &amp; ROUND($C29*Tab_ERA37[[#Headers],[14%]],2) &amp; "€
            " &amp; ROUND($C29*(1+Tab_ERA37[[#Headers],[14%]]),2) &amp; "€"</f>
        <v>+477,4€
            3887,41€</v>
      </c>
      <c r="AD29" s="12" t="str">
        <f>"+" &amp; ROUND($C29*Tab_ERA37[[#Headers],[14%]],2) &amp; "€
            " &amp; ROUND($C29*(1+Tab_ERA37[[#Headers],[14%]]),2) &amp; "€"</f>
        <v>+477,4€
            3887,41€</v>
      </c>
      <c r="AE29" s="12" t="str">
        <f>"+" &amp; ROUND($C29*Tab_ERA37[[#Headers],[15%]],2) &amp; "€
            " &amp; ROUND($C29*(1+Tab_ERA37[[#Headers],[15%]]),2) &amp; "€"</f>
        <v>+511,5€
            3921,51€</v>
      </c>
      <c r="AF29" s="12" t="str">
        <f>"+" &amp; ROUND($C29*Tab_ERA37[[#Headers],[15%]],2) &amp; "€
            " &amp; ROUND($C29*(1+Tab_ERA37[[#Headers],[15%]]),2) &amp; "€"</f>
        <v>+511,5€
            3921,51€</v>
      </c>
      <c r="AG29" s="12" t="str">
        <f>"+" &amp; ROUND($C29*Tab_ERA37[[#Headers],[16%]],2) &amp; "€
            " &amp; ROUND($C29*(1+Tab_ERA37[[#Headers],[16%]]),2) &amp; "€"</f>
        <v>+545,6€
            3955,61€</v>
      </c>
    </row>
    <row r="30" spans="1:33" ht="41.4" x14ac:dyDescent="0.3">
      <c r="A30" s="4" t="s">
        <v>75</v>
      </c>
      <c r="B30" s="5">
        <v>1</v>
      </c>
      <c r="C30" s="6">
        <f t="shared" si="0"/>
        <v>3627.6267768595035</v>
      </c>
      <c r="D30" s="12" t="str">
        <f>"+" &amp; ROUND($C30*Tab_ERA37[[#Headers],[1%]],2) &amp; "€
            " &amp; ROUND($C30*(1+Tab_ERA37[[#Headers],[1%]]),2) &amp; "€"</f>
        <v>+36,28€
            3663,9€</v>
      </c>
      <c r="E30" s="12" t="str">
        <f>"+" &amp; ROUND($C30*Tab_ERA37[[#Headers],[2%]],2) &amp; "€
            " &amp; ROUND($C30*(1+Tab_ERA37[[#Headers],[2%]]),2) &amp; "€"</f>
        <v>+72,55€
            3700,18€</v>
      </c>
      <c r="F30" s="12" t="str">
        <f>"+" &amp; ROUND($C30*Tab_ERA37[[#Headers],[2%]],2) &amp; "€
            " &amp; ROUND($C30*(1+Tab_ERA37[[#Headers],[2%]]),2) &amp; "€"</f>
        <v>+72,55€
            3700,18€</v>
      </c>
      <c r="G30" s="12" t="str">
        <f>"+" &amp; ROUND($C30*Tab_ERA37[[#Headers],[3%]],2) &amp; "€
            " &amp; ROUND($C30*(1+Tab_ERA37[[#Headers],[3%]]),2) &amp; "€"</f>
        <v>+108,83€
            3736,46€</v>
      </c>
      <c r="H30" s="12" t="str">
        <f>"+" &amp; ROUND($C30*Tab_ERA37[[#Headers],[3%]],2) &amp; "€
            " &amp; ROUND($C30*(1+Tab_ERA37[[#Headers],[3%]]),2) &amp; "€"</f>
        <v>+108,83€
            3736,46€</v>
      </c>
      <c r="I30" s="12" t="str">
        <f>"+" &amp; ROUND($C30*Tab_ERA37[[#Headers],[4%]],2) &amp; "€
            " &amp; ROUND($C30*(1+Tab_ERA37[[#Headers],[4%]]),2) &amp; "€"</f>
        <v>+145,11€
            3772,73€</v>
      </c>
      <c r="J30" s="12" t="str">
        <f>"+" &amp; ROUND($C30*Tab_ERA37[[#Headers],[4%]],2) &amp; "€
            " &amp; ROUND($C30*(1+Tab_ERA37[[#Headers],[4%]]),2) &amp; "€"</f>
        <v>+145,11€
            3772,73€</v>
      </c>
      <c r="K30" s="12" t="str">
        <f>"+" &amp; ROUND($C30*Tab_ERA37[[#Headers],[5%]],2) &amp; "€
            " &amp; ROUND($C30*(1+Tab_ERA37[[#Headers],[5%]]),2) &amp; "€"</f>
        <v>+181,38€
            3809,01€</v>
      </c>
      <c r="L30" s="12" t="str">
        <f>"+" &amp; ROUND($C30*Tab_ERA37[[#Headers],[5%]],2) &amp; "€
            " &amp; ROUND($C30*(1+Tab_ERA37[[#Headers],[5%]]),2) &amp; "€"</f>
        <v>+181,38€
            3809,01€</v>
      </c>
      <c r="M30" s="12" t="str">
        <f>"+" &amp; ROUND($C30*Tab_ERA37[[#Headers],[6%]],2) &amp; "€
            " &amp; ROUND($C30*(1+Tab_ERA37[[#Headers],[6%]]),2) &amp; "€"</f>
        <v>+217,66€
            3845,28€</v>
      </c>
      <c r="N30" s="12" t="str">
        <f>"+" &amp; ROUND($C30*Tab_ERA37[[#Headers],[6%]],2) &amp; "€
            " &amp; ROUND($C30*(1+Tab_ERA37[[#Headers],[6%]]),2) &amp; "€"</f>
        <v>+217,66€
            3845,28€</v>
      </c>
      <c r="O30" s="12" t="str">
        <f>"+" &amp; ROUND($C30*Tab_ERA37[[#Headers],[7%]],2) &amp; "€
            " &amp; ROUND($C30*(1+Tab_ERA37[[#Headers],[7%]]),2) &amp; "€"</f>
        <v>+253,93€
            3881,56€</v>
      </c>
      <c r="P30" s="12" t="str">
        <f>"+" &amp; ROUND($C30*Tab_ERA37[[#Headers],[7%]],2) &amp; "€
            " &amp; ROUND($C30*(1+Tab_ERA37[[#Headers],[7%]]),2) &amp; "€"</f>
        <v>+253,93€
            3881,56€</v>
      </c>
      <c r="Q30" s="12" t="str">
        <f>"+" &amp; ROUND($C30*Tab_ERA37[[#Headers],[8%]],2) &amp; "€
            " &amp; ROUND($C30*(1+Tab_ERA37[[#Headers],[8%]]),2) &amp; "€"</f>
        <v>+290,21€
            3917,84€</v>
      </c>
      <c r="R30" s="12" t="str">
        <f>"+" &amp; ROUND($C30*Tab_ERA37[[#Headers],[8%]],2) &amp; "€
            " &amp; ROUND($C30*(1+Tab_ERA37[[#Headers],[8%]]),2) &amp; "€"</f>
        <v>+290,21€
            3917,84€</v>
      </c>
      <c r="S30" s="12" t="str">
        <f>"+" &amp; ROUND($C30*Tab_ERA37[[#Headers],[9%]],2) &amp; "€
            " &amp; ROUND($C30*(1+Tab_ERA37[[#Headers],[9%]]),2) &amp; "€"</f>
        <v>+326,49€
            3954,11€</v>
      </c>
      <c r="T30" s="12" t="str">
        <f>"+" &amp; ROUND($C30*Tab_ERA37[[#Headers],[9%]],2) &amp; "€
            " &amp; ROUND($C30*(1+Tab_ERA37[[#Headers],[9%]]),2) &amp; "€"</f>
        <v>+326,49€
            3954,11€</v>
      </c>
      <c r="U30" s="12" t="str">
        <f>"+" &amp; ROUND($C30*Tab_ERA37[[#Headers],[10%]],2) &amp; "€
            " &amp; ROUND($C30*(1+Tab_ERA37[[#Headers],[10%]]),2) &amp; "€"</f>
        <v>+362,76€
            3990,39€</v>
      </c>
      <c r="V30" s="12" t="str">
        <f>"+" &amp; ROUND($C30*Tab_ERA37[[#Headers],[10%]],2) &amp; "€
            " &amp; ROUND($C30*(1+Tab_ERA37[[#Headers],[10%]]),2) &amp; "€"</f>
        <v>+362,76€
            3990,39€</v>
      </c>
      <c r="W30" s="12" t="str">
        <f>"+" &amp; ROUND($C30*Tab_ERA37[[#Headers],[11%]],2) &amp; "€
            " &amp; ROUND($C30*(1+Tab_ERA37[[#Headers],[11%]]),2) &amp; "€"</f>
        <v>+399,04€
            4026,67€</v>
      </c>
      <c r="X30" s="12" t="str">
        <f>"+" &amp; ROUND($C30*Tab_ERA37[[#Headers],[11%]],2) &amp; "€
            " &amp; ROUND($C30*(1+Tab_ERA37[[#Headers],[11%]]),2) &amp; "€"</f>
        <v>+399,04€
            4026,67€</v>
      </c>
      <c r="Y30" s="12" t="str">
        <f>"+" &amp; ROUND($C30*Tab_ERA37[[#Headers],[12%]],2) &amp; "€
            " &amp; ROUND($C30*(1+Tab_ERA37[[#Headers],[12%]]),2) &amp; "€"</f>
        <v>+435,32€
            4062,94€</v>
      </c>
      <c r="Z30" s="12" t="str">
        <f>"+" &amp; ROUND($C30*Tab_ERA37[[#Headers],[12%]],2) &amp; "€
            " &amp; ROUND($C30*(1+Tab_ERA37[[#Headers],[12%]]),2) &amp; "€"</f>
        <v>+435,32€
            4062,94€</v>
      </c>
      <c r="AA30" s="12" t="str">
        <f>"+" &amp; ROUND($C30*Tab_ERA37[[#Headers],[13%]],2) &amp; "€
            " &amp; ROUND($C30*(1+Tab_ERA37[[#Headers],[13%]]),2) &amp; "€"</f>
        <v>+471,59€
            4099,22€</v>
      </c>
      <c r="AB30" s="12" t="str">
        <f>"+" &amp; ROUND($C30*Tab_ERA37[[#Headers],[13%]],2) &amp; "€
            " &amp; ROUND($C30*(1+Tab_ERA37[[#Headers],[13%]]),2) &amp; "€"</f>
        <v>+471,59€
            4099,22€</v>
      </c>
      <c r="AC30" s="12" t="str">
        <f>"+" &amp; ROUND($C30*Tab_ERA37[[#Headers],[14%]],2) &amp; "€
            " &amp; ROUND($C30*(1+Tab_ERA37[[#Headers],[14%]]),2) &amp; "€"</f>
        <v>+507,87€
            4135,49€</v>
      </c>
      <c r="AD30" s="12" t="str">
        <f>"+" &amp; ROUND($C30*Tab_ERA37[[#Headers],[14%]],2) &amp; "€
            " &amp; ROUND($C30*(1+Tab_ERA37[[#Headers],[14%]]),2) &amp; "€"</f>
        <v>+507,87€
            4135,49€</v>
      </c>
      <c r="AE30" s="12" t="str">
        <f>"+" &amp; ROUND($C30*Tab_ERA37[[#Headers],[15%]],2) &amp; "€
            " &amp; ROUND($C30*(1+Tab_ERA37[[#Headers],[15%]]),2) &amp; "€"</f>
        <v>+544,14€
            4171,77€</v>
      </c>
      <c r="AF30" s="12" t="str">
        <f>"+" &amp; ROUND($C30*Tab_ERA37[[#Headers],[15%]],2) &amp; "€
            " &amp; ROUND($C30*(1+Tab_ERA37[[#Headers],[15%]]),2) &amp; "€"</f>
        <v>+544,14€
            4171,77€</v>
      </c>
      <c r="AG30" s="12" t="str">
        <f>"+" &amp; ROUND($C30*Tab_ERA37[[#Headers],[16%]],2) &amp; "€
            " &amp; ROUND($C30*(1+Tab_ERA37[[#Headers],[16%]]),2) &amp; "€"</f>
        <v>+580,42€
            4208,05€</v>
      </c>
    </row>
    <row r="31" spans="1:33" ht="41.4" x14ac:dyDescent="0.3">
      <c r="A31" s="4" t="s">
        <v>76</v>
      </c>
      <c r="B31" s="5">
        <v>1.07</v>
      </c>
      <c r="C31" s="6">
        <f t="shared" si="0"/>
        <v>3881.4223140495869</v>
      </c>
      <c r="D31" s="12" t="str">
        <f>"+" &amp; ROUND($C31*Tab_ERA37[[#Headers],[1%]],2) &amp; "€
            " &amp; ROUND($C31*(1+Tab_ERA37[[#Headers],[1%]]),2) &amp; "€"</f>
        <v>+38,81€
            3920,24€</v>
      </c>
      <c r="E31" s="12" t="str">
        <f>"+" &amp; ROUND($C31*Tab_ERA37[[#Headers],[2%]],2) &amp; "€
            " &amp; ROUND($C31*(1+Tab_ERA37[[#Headers],[2%]]),2) &amp; "€"</f>
        <v>+77,63€
            3959,05€</v>
      </c>
      <c r="F31" s="12" t="str">
        <f>"+" &amp; ROUND($C31*Tab_ERA37[[#Headers],[2%]],2) &amp; "€
            " &amp; ROUND($C31*(1+Tab_ERA37[[#Headers],[2%]]),2) &amp; "€"</f>
        <v>+77,63€
            3959,05€</v>
      </c>
      <c r="G31" s="12" t="str">
        <f>"+" &amp; ROUND($C31*Tab_ERA37[[#Headers],[3%]],2) &amp; "€
            " &amp; ROUND($C31*(1+Tab_ERA37[[#Headers],[3%]]),2) &amp; "€"</f>
        <v>+116,44€
            3997,86€</v>
      </c>
      <c r="H31" s="12" t="str">
        <f>"+" &amp; ROUND($C31*Tab_ERA37[[#Headers],[3%]],2) &amp; "€
            " &amp; ROUND($C31*(1+Tab_ERA37[[#Headers],[3%]]),2) &amp; "€"</f>
        <v>+116,44€
            3997,86€</v>
      </c>
      <c r="I31" s="12" t="str">
        <f>"+" &amp; ROUND($C31*Tab_ERA37[[#Headers],[4%]],2) &amp; "€
            " &amp; ROUND($C31*(1+Tab_ERA37[[#Headers],[4%]]),2) &amp; "€"</f>
        <v>+155,26€
            4036,68€</v>
      </c>
      <c r="J31" s="12" t="str">
        <f>"+" &amp; ROUND($C31*Tab_ERA37[[#Headers],[4%]],2) &amp; "€
            " &amp; ROUND($C31*(1+Tab_ERA37[[#Headers],[4%]]),2) &amp; "€"</f>
        <v>+155,26€
            4036,68€</v>
      </c>
      <c r="K31" s="12" t="str">
        <f>"+" &amp; ROUND($C31*Tab_ERA37[[#Headers],[5%]],2) &amp; "€
            " &amp; ROUND($C31*(1+Tab_ERA37[[#Headers],[5%]]),2) &amp; "€"</f>
        <v>+194,07€
            4075,49€</v>
      </c>
      <c r="L31" s="12" t="str">
        <f>"+" &amp; ROUND($C31*Tab_ERA37[[#Headers],[5%]],2) &amp; "€
            " &amp; ROUND($C31*(1+Tab_ERA37[[#Headers],[5%]]),2) &amp; "€"</f>
        <v>+194,07€
            4075,49€</v>
      </c>
      <c r="M31" s="12" t="str">
        <f>"+" &amp; ROUND($C31*Tab_ERA37[[#Headers],[6%]],2) &amp; "€
            " &amp; ROUND($C31*(1+Tab_ERA37[[#Headers],[6%]]),2) &amp; "€"</f>
        <v>+232,89€
            4114,31€</v>
      </c>
      <c r="N31" s="12" t="str">
        <f>"+" &amp; ROUND($C31*Tab_ERA37[[#Headers],[6%]],2) &amp; "€
            " &amp; ROUND($C31*(1+Tab_ERA37[[#Headers],[6%]]),2) &amp; "€"</f>
        <v>+232,89€
            4114,31€</v>
      </c>
      <c r="O31" s="12" t="str">
        <f>"+" &amp; ROUND($C31*Tab_ERA37[[#Headers],[7%]],2) &amp; "€
            " &amp; ROUND($C31*(1+Tab_ERA37[[#Headers],[7%]]),2) &amp; "€"</f>
        <v>+271,7€
            4153,12€</v>
      </c>
      <c r="P31" s="12" t="str">
        <f>"+" &amp; ROUND($C31*Tab_ERA37[[#Headers],[7%]],2) &amp; "€
            " &amp; ROUND($C31*(1+Tab_ERA37[[#Headers],[7%]]),2) &amp; "€"</f>
        <v>+271,7€
            4153,12€</v>
      </c>
      <c r="Q31" s="12" t="str">
        <f>"+" &amp; ROUND($C31*Tab_ERA37[[#Headers],[8%]],2) &amp; "€
            " &amp; ROUND($C31*(1+Tab_ERA37[[#Headers],[8%]]),2) &amp; "€"</f>
        <v>+310,51€
            4191,94€</v>
      </c>
      <c r="R31" s="12" t="str">
        <f>"+" &amp; ROUND($C31*Tab_ERA37[[#Headers],[8%]],2) &amp; "€
            " &amp; ROUND($C31*(1+Tab_ERA37[[#Headers],[8%]]),2) &amp; "€"</f>
        <v>+310,51€
            4191,94€</v>
      </c>
      <c r="S31" s="12" t="str">
        <f>"+" &amp; ROUND($C31*Tab_ERA37[[#Headers],[9%]],2) &amp; "€
            " &amp; ROUND($C31*(1+Tab_ERA37[[#Headers],[9%]]),2) &amp; "€"</f>
        <v>+349,33€
            4230,75€</v>
      </c>
      <c r="T31" s="12" t="str">
        <f>"+" &amp; ROUND($C31*Tab_ERA37[[#Headers],[9%]],2) &amp; "€
            " &amp; ROUND($C31*(1+Tab_ERA37[[#Headers],[9%]]),2) &amp; "€"</f>
        <v>+349,33€
            4230,75€</v>
      </c>
      <c r="U31" s="12" t="str">
        <f>"+" &amp; ROUND($C31*Tab_ERA37[[#Headers],[10%]],2) &amp; "€
            " &amp; ROUND($C31*(1+Tab_ERA37[[#Headers],[10%]]),2) &amp; "€"</f>
        <v>+388,14€
            4269,56€</v>
      </c>
      <c r="V31" s="12" t="str">
        <f>"+" &amp; ROUND($C31*Tab_ERA37[[#Headers],[10%]],2) &amp; "€
            " &amp; ROUND($C31*(1+Tab_ERA37[[#Headers],[10%]]),2) &amp; "€"</f>
        <v>+388,14€
            4269,56€</v>
      </c>
      <c r="W31" s="12" t="str">
        <f>"+" &amp; ROUND($C31*Tab_ERA37[[#Headers],[11%]],2) &amp; "€
            " &amp; ROUND($C31*(1+Tab_ERA37[[#Headers],[11%]]),2) &amp; "€"</f>
        <v>+426,96€
            4308,38€</v>
      </c>
      <c r="X31" s="12" t="str">
        <f>"+" &amp; ROUND($C31*Tab_ERA37[[#Headers],[11%]],2) &amp; "€
            " &amp; ROUND($C31*(1+Tab_ERA37[[#Headers],[11%]]),2) &amp; "€"</f>
        <v>+426,96€
            4308,38€</v>
      </c>
      <c r="Y31" s="12" t="str">
        <f>"+" &amp; ROUND($C31*Tab_ERA37[[#Headers],[12%]],2) &amp; "€
            " &amp; ROUND($C31*(1+Tab_ERA37[[#Headers],[12%]]),2) &amp; "€"</f>
        <v>+465,77€
            4347,19€</v>
      </c>
      <c r="Z31" s="12" t="str">
        <f>"+" &amp; ROUND($C31*Tab_ERA37[[#Headers],[12%]],2) &amp; "€
            " &amp; ROUND($C31*(1+Tab_ERA37[[#Headers],[12%]]),2) &amp; "€"</f>
        <v>+465,77€
            4347,19€</v>
      </c>
      <c r="AA31" s="12" t="str">
        <f>"+" &amp; ROUND($C31*Tab_ERA37[[#Headers],[13%]],2) &amp; "€
            " &amp; ROUND($C31*(1+Tab_ERA37[[#Headers],[13%]]),2) &amp; "€"</f>
        <v>+504,58€
            4386,01€</v>
      </c>
      <c r="AB31" s="12" t="str">
        <f>"+" &amp; ROUND($C31*Tab_ERA37[[#Headers],[13%]],2) &amp; "€
            " &amp; ROUND($C31*(1+Tab_ERA37[[#Headers],[13%]]),2) &amp; "€"</f>
        <v>+504,58€
            4386,01€</v>
      </c>
      <c r="AC31" s="12" t="str">
        <f>"+" &amp; ROUND($C31*Tab_ERA37[[#Headers],[14%]],2) &amp; "€
            " &amp; ROUND($C31*(1+Tab_ERA37[[#Headers],[14%]]),2) &amp; "€"</f>
        <v>+543,4€
            4424,82€</v>
      </c>
      <c r="AD31" s="12" t="str">
        <f>"+" &amp; ROUND($C31*Tab_ERA37[[#Headers],[14%]],2) &amp; "€
            " &amp; ROUND($C31*(1+Tab_ERA37[[#Headers],[14%]]),2) &amp; "€"</f>
        <v>+543,4€
            4424,82€</v>
      </c>
      <c r="AE31" s="12" t="str">
        <f>"+" &amp; ROUND($C31*Tab_ERA37[[#Headers],[15%]],2) &amp; "€
            " &amp; ROUND($C31*(1+Tab_ERA37[[#Headers],[15%]]),2) &amp; "€"</f>
        <v>+582,21€
            4463,64€</v>
      </c>
      <c r="AF31" s="12" t="str">
        <f>"+" &amp; ROUND($C31*Tab_ERA37[[#Headers],[15%]],2) &amp; "€
            " &amp; ROUND($C31*(1+Tab_ERA37[[#Headers],[15%]]),2) &amp; "€"</f>
        <v>+582,21€
            4463,64€</v>
      </c>
      <c r="AG31" s="12" t="str">
        <f>"+" &amp; ROUND($C31*Tab_ERA37[[#Headers],[16%]],2) &amp; "€
            " &amp; ROUND($C31*(1+Tab_ERA37[[#Headers],[16%]]),2) &amp; "€"</f>
        <v>+621,03€
            4502,45€</v>
      </c>
    </row>
    <row r="32" spans="1:33" ht="41.4" x14ac:dyDescent="0.3">
      <c r="A32" s="4" t="s">
        <v>77</v>
      </c>
      <c r="B32" s="5">
        <v>1.1399999999999999</v>
      </c>
      <c r="C32" s="6">
        <f t="shared" si="0"/>
        <v>4135.7499173553715</v>
      </c>
      <c r="D32" s="12" t="str">
        <f>"+" &amp; ROUND($C32*Tab_ERA37[[#Headers],[1%]],2) &amp; "€
            " &amp; ROUND($C32*(1+Tab_ERA37[[#Headers],[1%]]),2) &amp; "€"</f>
        <v>+41,36€
            4177,11€</v>
      </c>
      <c r="E32" s="12" t="str">
        <f>"+" &amp; ROUND($C32*Tab_ERA37[[#Headers],[2%]],2) &amp; "€
            " &amp; ROUND($C32*(1+Tab_ERA37[[#Headers],[2%]]),2) &amp; "€"</f>
        <v>+82,71€
            4218,46€</v>
      </c>
      <c r="F32" s="12" t="str">
        <f>"+" &amp; ROUND($C32*Tab_ERA37[[#Headers],[2%]],2) &amp; "€
            " &amp; ROUND($C32*(1+Tab_ERA37[[#Headers],[2%]]),2) &amp; "€"</f>
        <v>+82,71€
            4218,46€</v>
      </c>
      <c r="G32" s="12" t="str">
        <f>"+" &amp; ROUND($C32*Tab_ERA37[[#Headers],[3%]],2) &amp; "€
            " &amp; ROUND($C32*(1+Tab_ERA37[[#Headers],[3%]]),2) &amp; "€"</f>
        <v>+124,07€
            4259,82€</v>
      </c>
      <c r="H32" s="12" t="str">
        <f>"+" &amp; ROUND($C32*Tab_ERA37[[#Headers],[3%]],2) &amp; "€
            " &amp; ROUND($C32*(1+Tab_ERA37[[#Headers],[3%]]),2) &amp; "€"</f>
        <v>+124,07€
            4259,82€</v>
      </c>
      <c r="I32" s="12" t="str">
        <f>"+" &amp; ROUND($C32*Tab_ERA37[[#Headers],[4%]],2) &amp; "€
            " &amp; ROUND($C32*(1+Tab_ERA37[[#Headers],[4%]]),2) &amp; "€"</f>
        <v>+165,43€
            4301,18€</v>
      </c>
      <c r="J32" s="12" t="str">
        <f>"+" &amp; ROUND($C32*Tab_ERA37[[#Headers],[4%]],2) &amp; "€
            " &amp; ROUND($C32*(1+Tab_ERA37[[#Headers],[4%]]),2) &amp; "€"</f>
        <v>+165,43€
            4301,18€</v>
      </c>
      <c r="K32" s="12" t="str">
        <f>"+" &amp; ROUND($C32*Tab_ERA37[[#Headers],[5%]],2) &amp; "€
            " &amp; ROUND($C32*(1+Tab_ERA37[[#Headers],[5%]]),2) &amp; "€"</f>
        <v>+206,79€
            4342,54€</v>
      </c>
      <c r="L32" s="12" t="str">
        <f>"+" &amp; ROUND($C32*Tab_ERA37[[#Headers],[5%]],2) &amp; "€
            " &amp; ROUND($C32*(1+Tab_ERA37[[#Headers],[5%]]),2) &amp; "€"</f>
        <v>+206,79€
            4342,54€</v>
      </c>
      <c r="M32" s="12" t="str">
        <f>"+" &amp; ROUND($C32*Tab_ERA37[[#Headers],[6%]],2) &amp; "€
            " &amp; ROUND($C32*(1+Tab_ERA37[[#Headers],[6%]]),2) &amp; "€"</f>
        <v>+248,14€
            4383,89€</v>
      </c>
      <c r="N32" s="12" t="str">
        <f>"+" &amp; ROUND($C32*Tab_ERA37[[#Headers],[6%]],2) &amp; "€
            " &amp; ROUND($C32*(1+Tab_ERA37[[#Headers],[6%]]),2) &amp; "€"</f>
        <v>+248,14€
            4383,89€</v>
      </c>
      <c r="O32" s="12" t="str">
        <f>"+" &amp; ROUND($C32*Tab_ERA37[[#Headers],[7%]],2) &amp; "€
            " &amp; ROUND($C32*(1+Tab_ERA37[[#Headers],[7%]]),2) &amp; "€"</f>
        <v>+289,5€
            4425,25€</v>
      </c>
      <c r="P32" s="12" t="str">
        <f>"+" &amp; ROUND($C32*Tab_ERA37[[#Headers],[7%]],2) &amp; "€
            " &amp; ROUND($C32*(1+Tab_ERA37[[#Headers],[7%]]),2) &amp; "€"</f>
        <v>+289,5€
            4425,25€</v>
      </c>
      <c r="Q32" s="12" t="str">
        <f>"+" &amp; ROUND($C32*Tab_ERA37[[#Headers],[8%]],2) &amp; "€
            " &amp; ROUND($C32*(1+Tab_ERA37[[#Headers],[8%]]),2) &amp; "€"</f>
        <v>+330,86€
            4466,61€</v>
      </c>
      <c r="R32" s="12" t="str">
        <f>"+" &amp; ROUND($C32*Tab_ERA37[[#Headers],[8%]],2) &amp; "€
            " &amp; ROUND($C32*(1+Tab_ERA37[[#Headers],[8%]]),2) &amp; "€"</f>
        <v>+330,86€
            4466,61€</v>
      </c>
      <c r="S32" s="12" t="str">
        <f>"+" &amp; ROUND($C32*Tab_ERA37[[#Headers],[9%]],2) &amp; "€
            " &amp; ROUND($C32*(1+Tab_ERA37[[#Headers],[9%]]),2) &amp; "€"</f>
        <v>+372,22€
            4507,97€</v>
      </c>
      <c r="T32" s="12" t="str">
        <f>"+" &amp; ROUND($C32*Tab_ERA37[[#Headers],[9%]],2) &amp; "€
            " &amp; ROUND($C32*(1+Tab_ERA37[[#Headers],[9%]]),2) &amp; "€"</f>
        <v>+372,22€
            4507,97€</v>
      </c>
      <c r="U32" s="12" t="str">
        <f>"+" &amp; ROUND($C32*Tab_ERA37[[#Headers],[10%]],2) &amp; "€
            " &amp; ROUND($C32*(1+Tab_ERA37[[#Headers],[10%]]),2) &amp; "€"</f>
        <v>+413,57€
            4549,32€</v>
      </c>
      <c r="V32" s="12" t="str">
        <f>"+" &amp; ROUND($C32*Tab_ERA37[[#Headers],[10%]],2) &amp; "€
            " &amp; ROUND($C32*(1+Tab_ERA37[[#Headers],[10%]]),2) &amp; "€"</f>
        <v>+413,57€
            4549,32€</v>
      </c>
      <c r="W32" s="12" t="str">
        <f>"+" &amp; ROUND($C32*Tab_ERA37[[#Headers],[11%]],2) &amp; "€
            " &amp; ROUND($C32*(1+Tab_ERA37[[#Headers],[11%]]),2) &amp; "€"</f>
        <v>+454,93€
            4590,68€</v>
      </c>
      <c r="X32" s="12" t="str">
        <f>"+" &amp; ROUND($C32*Tab_ERA37[[#Headers],[11%]],2) &amp; "€
            " &amp; ROUND($C32*(1+Tab_ERA37[[#Headers],[11%]]),2) &amp; "€"</f>
        <v>+454,93€
            4590,68€</v>
      </c>
      <c r="Y32" s="12" t="str">
        <f>"+" &amp; ROUND($C32*Tab_ERA37[[#Headers],[12%]],2) &amp; "€
            " &amp; ROUND($C32*(1+Tab_ERA37[[#Headers],[12%]]),2) &amp; "€"</f>
        <v>+496,29€
            4632,04€</v>
      </c>
      <c r="Z32" s="12" t="str">
        <f>"+" &amp; ROUND($C32*Tab_ERA37[[#Headers],[12%]],2) &amp; "€
            " &amp; ROUND($C32*(1+Tab_ERA37[[#Headers],[12%]]),2) &amp; "€"</f>
        <v>+496,29€
            4632,04€</v>
      </c>
      <c r="AA32" s="12" t="str">
        <f>"+" &amp; ROUND($C32*Tab_ERA37[[#Headers],[13%]],2) &amp; "€
            " &amp; ROUND($C32*(1+Tab_ERA37[[#Headers],[13%]]),2) &amp; "€"</f>
        <v>+537,65€
            4673,4€</v>
      </c>
      <c r="AB32" s="12" t="str">
        <f>"+" &amp; ROUND($C32*Tab_ERA37[[#Headers],[13%]],2) &amp; "€
            " &amp; ROUND($C32*(1+Tab_ERA37[[#Headers],[13%]]),2) &amp; "€"</f>
        <v>+537,65€
            4673,4€</v>
      </c>
      <c r="AC32" s="12" t="str">
        <f>"+" &amp; ROUND($C32*Tab_ERA37[[#Headers],[14%]],2) &amp; "€
            " &amp; ROUND($C32*(1+Tab_ERA37[[#Headers],[14%]]),2) &amp; "€"</f>
        <v>+579€
            4714,75€</v>
      </c>
      <c r="AD32" s="12" t="str">
        <f>"+" &amp; ROUND($C32*Tab_ERA37[[#Headers],[14%]],2) &amp; "€
            " &amp; ROUND($C32*(1+Tab_ERA37[[#Headers],[14%]]),2) &amp; "€"</f>
        <v>+579€
            4714,75€</v>
      </c>
      <c r="AE32" s="12" t="str">
        <f>"+" &amp; ROUND($C32*Tab_ERA37[[#Headers],[15%]],2) &amp; "€
            " &amp; ROUND($C32*(1+Tab_ERA37[[#Headers],[15%]]),2) &amp; "€"</f>
        <v>+620,36€
            4756,11€</v>
      </c>
      <c r="AF32" s="12" t="str">
        <f>"+" &amp; ROUND($C32*Tab_ERA37[[#Headers],[15%]],2) &amp; "€
            " &amp; ROUND($C32*(1+Tab_ERA37[[#Headers],[15%]]),2) &amp; "€"</f>
        <v>+620,36€
            4756,11€</v>
      </c>
      <c r="AG32" s="12" t="str">
        <f>"+" &amp; ROUND($C32*Tab_ERA37[[#Headers],[16%]],2) &amp; "€
            " &amp; ROUND($C32*(1+Tab_ERA37[[#Headers],[16%]]),2) &amp; "€"</f>
        <v>+661,72€
            4797,47€</v>
      </c>
    </row>
    <row r="33" spans="1:33" ht="41.4" x14ac:dyDescent="0.3">
      <c r="A33" s="4" t="s">
        <v>78</v>
      </c>
      <c r="B33" s="5">
        <v>1.2150000000000001</v>
      </c>
      <c r="C33" s="6">
        <f t="shared" si="0"/>
        <v>4407.6357024793379</v>
      </c>
      <c r="D33" s="12" t="str">
        <f>"+" &amp; ROUND($C33*Tab_ERA37[[#Headers],[1%]],2) &amp; "€
            " &amp; ROUND($C33*(1+Tab_ERA37[[#Headers],[1%]]),2) &amp; "€"</f>
        <v>+44,08€
            4451,71€</v>
      </c>
      <c r="E33" s="12" t="str">
        <f>"+" &amp; ROUND($C33*Tab_ERA37[[#Headers],[2%]],2) &amp; "€
            " &amp; ROUND($C33*(1+Tab_ERA37[[#Headers],[2%]]),2) &amp; "€"</f>
        <v>+88,15€
            4495,79€</v>
      </c>
      <c r="F33" s="12" t="str">
        <f>"+" &amp; ROUND($C33*Tab_ERA37[[#Headers],[2%]],2) &amp; "€
            " &amp; ROUND($C33*(1+Tab_ERA37[[#Headers],[2%]]),2) &amp; "€"</f>
        <v>+88,15€
            4495,79€</v>
      </c>
      <c r="G33" s="12" t="str">
        <f>"+" &amp; ROUND($C33*Tab_ERA37[[#Headers],[3%]],2) &amp; "€
            " &amp; ROUND($C33*(1+Tab_ERA37[[#Headers],[3%]]),2) &amp; "€"</f>
        <v>+132,23€
            4539,86€</v>
      </c>
      <c r="H33" s="12" t="str">
        <f>"+" &amp; ROUND($C33*Tab_ERA37[[#Headers],[3%]],2) &amp; "€
            " &amp; ROUND($C33*(1+Tab_ERA37[[#Headers],[3%]]),2) &amp; "€"</f>
        <v>+132,23€
            4539,86€</v>
      </c>
      <c r="I33" s="12" t="str">
        <f>"+" &amp; ROUND($C33*Tab_ERA37[[#Headers],[4%]],2) &amp; "€
            " &amp; ROUND($C33*(1+Tab_ERA37[[#Headers],[4%]]),2) &amp; "€"</f>
        <v>+176,31€
            4583,94€</v>
      </c>
      <c r="J33" s="12" t="str">
        <f>"+" &amp; ROUND($C33*Tab_ERA37[[#Headers],[4%]],2) &amp; "€
            " &amp; ROUND($C33*(1+Tab_ERA37[[#Headers],[4%]]),2) &amp; "€"</f>
        <v>+176,31€
            4583,94€</v>
      </c>
      <c r="K33" s="12" t="str">
        <f>"+" &amp; ROUND($C33*Tab_ERA37[[#Headers],[5%]],2) &amp; "€
            " &amp; ROUND($C33*(1+Tab_ERA37[[#Headers],[5%]]),2) &amp; "€"</f>
        <v>+220,38€
            4628,02€</v>
      </c>
      <c r="L33" s="12" t="str">
        <f>"+" &amp; ROUND($C33*Tab_ERA37[[#Headers],[5%]],2) &amp; "€
            " &amp; ROUND($C33*(1+Tab_ERA37[[#Headers],[5%]]),2) &amp; "€"</f>
        <v>+220,38€
            4628,02€</v>
      </c>
      <c r="M33" s="12" t="str">
        <f>"+" &amp; ROUND($C33*Tab_ERA37[[#Headers],[6%]],2) &amp; "€
            " &amp; ROUND($C33*(1+Tab_ERA37[[#Headers],[6%]]),2) &amp; "€"</f>
        <v>+264,46€
            4672,09€</v>
      </c>
      <c r="N33" s="12" t="str">
        <f>"+" &amp; ROUND($C33*Tab_ERA37[[#Headers],[6%]],2) &amp; "€
            " &amp; ROUND($C33*(1+Tab_ERA37[[#Headers],[6%]]),2) &amp; "€"</f>
        <v>+264,46€
            4672,09€</v>
      </c>
      <c r="O33" s="12" t="str">
        <f>"+" &amp; ROUND($C33*Tab_ERA37[[#Headers],[7%]],2) &amp; "€
            " &amp; ROUND($C33*(1+Tab_ERA37[[#Headers],[7%]]),2) &amp; "€"</f>
        <v>+308,53€
            4716,17€</v>
      </c>
      <c r="P33" s="12" t="str">
        <f>"+" &amp; ROUND($C33*Tab_ERA37[[#Headers],[7%]],2) &amp; "€
            " &amp; ROUND($C33*(1+Tab_ERA37[[#Headers],[7%]]),2) &amp; "€"</f>
        <v>+308,53€
            4716,17€</v>
      </c>
      <c r="Q33" s="12" t="str">
        <f>"+" &amp; ROUND($C33*Tab_ERA37[[#Headers],[8%]],2) &amp; "€
            " &amp; ROUND($C33*(1+Tab_ERA37[[#Headers],[8%]]),2) &amp; "€"</f>
        <v>+352,61€
            4760,25€</v>
      </c>
      <c r="R33" s="12" t="str">
        <f>"+" &amp; ROUND($C33*Tab_ERA37[[#Headers],[8%]],2) &amp; "€
            " &amp; ROUND($C33*(1+Tab_ERA37[[#Headers],[8%]]),2) &amp; "€"</f>
        <v>+352,61€
            4760,25€</v>
      </c>
      <c r="S33" s="12" t="str">
        <f>"+" &amp; ROUND($C33*Tab_ERA37[[#Headers],[9%]],2) &amp; "€
            " &amp; ROUND($C33*(1+Tab_ERA37[[#Headers],[9%]]),2) &amp; "€"</f>
        <v>+396,69€
            4804,32€</v>
      </c>
      <c r="T33" s="12" t="str">
        <f>"+" &amp; ROUND($C33*Tab_ERA37[[#Headers],[9%]],2) &amp; "€
            " &amp; ROUND($C33*(1+Tab_ERA37[[#Headers],[9%]]),2) &amp; "€"</f>
        <v>+396,69€
            4804,32€</v>
      </c>
      <c r="U33" s="12" t="str">
        <f>"+" &amp; ROUND($C33*Tab_ERA37[[#Headers],[10%]],2) &amp; "€
            " &amp; ROUND($C33*(1+Tab_ERA37[[#Headers],[10%]]),2) &amp; "€"</f>
        <v>+440,76€
            4848,4€</v>
      </c>
      <c r="V33" s="12" t="str">
        <f>"+" &amp; ROUND($C33*Tab_ERA37[[#Headers],[10%]],2) &amp; "€
            " &amp; ROUND($C33*(1+Tab_ERA37[[#Headers],[10%]]),2) &amp; "€"</f>
        <v>+440,76€
            4848,4€</v>
      </c>
      <c r="W33" s="12" t="str">
        <f>"+" &amp; ROUND($C33*Tab_ERA37[[#Headers],[11%]],2) &amp; "€
            " &amp; ROUND($C33*(1+Tab_ERA37[[#Headers],[11%]]),2) &amp; "€"</f>
        <v>+484,84€
            4892,48€</v>
      </c>
      <c r="X33" s="12" t="str">
        <f>"+" &amp; ROUND($C33*Tab_ERA37[[#Headers],[11%]],2) &amp; "€
            " &amp; ROUND($C33*(1+Tab_ERA37[[#Headers],[11%]]),2) &amp; "€"</f>
        <v>+484,84€
            4892,48€</v>
      </c>
      <c r="Y33" s="12" t="str">
        <f>"+" &amp; ROUND($C33*Tab_ERA37[[#Headers],[12%]],2) &amp; "€
            " &amp; ROUND($C33*(1+Tab_ERA37[[#Headers],[12%]]),2) &amp; "€"</f>
        <v>+528,92€
            4936,55€</v>
      </c>
      <c r="Z33" s="12" t="str">
        <f>"+" &amp; ROUND($C33*Tab_ERA37[[#Headers],[12%]],2) &amp; "€
            " &amp; ROUND($C33*(1+Tab_ERA37[[#Headers],[12%]]),2) &amp; "€"</f>
        <v>+528,92€
            4936,55€</v>
      </c>
      <c r="AA33" s="12" t="str">
        <f>"+" &amp; ROUND($C33*Tab_ERA37[[#Headers],[13%]],2) &amp; "€
            " &amp; ROUND($C33*(1+Tab_ERA37[[#Headers],[13%]]),2) &amp; "€"</f>
        <v>+572,99€
            4980,63€</v>
      </c>
      <c r="AB33" s="12" t="str">
        <f>"+" &amp; ROUND($C33*Tab_ERA37[[#Headers],[13%]],2) &amp; "€
            " &amp; ROUND($C33*(1+Tab_ERA37[[#Headers],[13%]]),2) &amp; "€"</f>
        <v>+572,99€
            4980,63€</v>
      </c>
      <c r="AC33" s="12" t="str">
        <f>"+" &amp; ROUND($C33*Tab_ERA37[[#Headers],[14%]],2) &amp; "€
            " &amp; ROUND($C33*(1+Tab_ERA37[[#Headers],[14%]]),2) &amp; "€"</f>
        <v>+617,07€
            5024,7€</v>
      </c>
      <c r="AD33" s="12" t="str">
        <f>"+" &amp; ROUND($C33*Tab_ERA37[[#Headers],[14%]],2) &amp; "€
            " &amp; ROUND($C33*(1+Tab_ERA37[[#Headers],[14%]]),2) &amp; "€"</f>
        <v>+617,07€
            5024,7€</v>
      </c>
      <c r="AE33" s="12" t="str">
        <f>"+" &amp; ROUND($C33*Tab_ERA37[[#Headers],[15%]],2) &amp; "€
            " &amp; ROUND($C33*(1+Tab_ERA37[[#Headers],[15%]]),2) &amp; "€"</f>
        <v>+661,15€
            5068,78€</v>
      </c>
      <c r="AF33" s="12" t="str">
        <f>"+" &amp; ROUND($C33*Tab_ERA37[[#Headers],[15%]],2) &amp; "€
            " &amp; ROUND($C33*(1+Tab_ERA37[[#Headers],[15%]]),2) &amp; "€"</f>
        <v>+661,15€
            5068,78€</v>
      </c>
      <c r="AG33" s="12" t="str">
        <f>"+" &amp; ROUND($C33*Tab_ERA37[[#Headers],[16%]],2) &amp; "€
            " &amp; ROUND($C33*(1+Tab_ERA37[[#Headers],[16%]]),2) &amp; "€"</f>
        <v>+705,22€
            5112,86€</v>
      </c>
    </row>
    <row r="34" spans="1:33" ht="41.4" x14ac:dyDescent="0.3">
      <c r="A34" s="4" t="s">
        <v>79</v>
      </c>
      <c r="B34" s="5">
        <v>1.2949999999999999</v>
      </c>
      <c r="C34" s="6">
        <f t="shared" si="0"/>
        <v>4697.6117355371898</v>
      </c>
      <c r="D34" s="12" t="str">
        <f>"+" &amp; ROUND($C34*Tab_ERA37[[#Headers],[1%]],2) &amp; "€
            " &amp; ROUND($C34*(1+Tab_ERA37[[#Headers],[1%]]),2) &amp; "€"</f>
        <v>+46,98€
            4744,59€</v>
      </c>
      <c r="E34" s="12" t="str">
        <f>"+" &amp; ROUND($C34*Tab_ERA37[[#Headers],[2%]],2) &amp; "€
            " &amp; ROUND($C34*(1+Tab_ERA37[[#Headers],[2%]]),2) &amp; "€"</f>
        <v>+93,95€
            4791,56€</v>
      </c>
      <c r="F34" s="12" t="str">
        <f>"+" &amp; ROUND($C34*Tab_ERA37[[#Headers],[2%]],2) &amp; "€
            " &amp; ROUND($C34*(1+Tab_ERA37[[#Headers],[2%]]),2) &amp; "€"</f>
        <v>+93,95€
            4791,56€</v>
      </c>
      <c r="G34" s="12" t="str">
        <f>"+" &amp; ROUND($C34*Tab_ERA37[[#Headers],[3%]],2) &amp; "€
            " &amp; ROUND($C34*(1+Tab_ERA37[[#Headers],[3%]]),2) &amp; "€"</f>
        <v>+140,93€
            4838,54€</v>
      </c>
      <c r="H34" s="12" t="str">
        <f>"+" &amp; ROUND($C34*Tab_ERA37[[#Headers],[3%]],2) &amp; "€
            " &amp; ROUND($C34*(1+Tab_ERA37[[#Headers],[3%]]),2) &amp; "€"</f>
        <v>+140,93€
            4838,54€</v>
      </c>
      <c r="I34" s="12" t="str">
        <f>"+" &amp; ROUND($C34*Tab_ERA37[[#Headers],[4%]],2) &amp; "€
            " &amp; ROUND($C34*(1+Tab_ERA37[[#Headers],[4%]]),2) &amp; "€"</f>
        <v>+187,9€
            4885,52€</v>
      </c>
      <c r="J34" s="12" t="str">
        <f>"+" &amp; ROUND($C34*Tab_ERA37[[#Headers],[4%]],2) &amp; "€
            " &amp; ROUND($C34*(1+Tab_ERA37[[#Headers],[4%]]),2) &amp; "€"</f>
        <v>+187,9€
            4885,52€</v>
      </c>
      <c r="K34" s="12" t="str">
        <f>"+" &amp; ROUND($C34*Tab_ERA37[[#Headers],[5%]],2) &amp; "€
            " &amp; ROUND($C34*(1+Tab_ERA37[[#Headers],[5%]]),2) &amp; "€"</f>
        <v>+234,88€
            4932,49€</v>
      </c>
      <c r="L34" s="12" t="str">
        <f>"+" &amp; ROUND($C34*Tab_ERA37[[#Headers],[5%]],2) &amp; "€
            " &amp; ROUND($C34*(1+Tab_ERA37[[#Headers],[5%]]),2) &amp; "€"</f>
        <v>+234,88€
            4932,49€</v>
      </c>
      <c r="M34" s="12" t="str">
        <f>"+" &amp; ROUND($C34*Tab_ERA37[[#Headers],[6%]],2) &amp; "€
            " &amp; ROUND($C34*(1+Tab_ERA37[[#Headers],[6%]]),2) &amp; "€"</f>
        <v>+281,86€
            4979,47€</v>
      </c>
      <c r="N34" s="12" t="str">
        <f>"+" &amp; ROUND($C34*Tab_ERA37[[#Headers],[6%]],2) &amp; "€
            " &amp; ROUND($C34*(1+Tab_ERA37[[#Headers],[6%]]),2) &amp; "€"</f>
        <v>+281,86€
            4979,47€</v>
      </c>
      <c r="O34" s="12" t="str">
        <f>"+" &amp; ROUND($C34*Tab_ERA37[[#Headers],[7%]],2) &amp; "€
            " &amp; ROUND($C34*(1+Tab_ERA37[[#Headers],[7%]]),2) &amp; "€"</f>
        <v>+328,83€
            5026,44€</v>
      </c>
      <c r="P34" s="12" t="str">
        <f>"+" &amp; ROUND($C34*Tab_ERA37[[#Headers],[7%]],2) &amp; "€
            " &amp; ROUND($C34*(1+Tab_ERA37[[#Headers],[7%]]),2) &amp; "€"</f>
        <v>+328,83€
            5026,44€</v>
      </c>
      <c r="Q34" s="12" t="str">
        <f>"+" &amp; ROUND($C34*Tab_ERA37[[#Headers],[8%]],2) &amp; "€
            " &amp; ROUND($C34*(1+Tab_ERA37[[#Headers],[8%]]),2) &amp; "€"</f>
        <v>+375,81€
            5073,42€</v>
      </c>
      <c r="R34" s="12" t="str">
        <f>"+" &amp; ROUND($C34*Tab_ERA37[[#Headers],[8%]],2) &amp; "€
            " &amp; ROUND($C34*(1+Tab_ERA37[[#Headers],[8%]]),2) &amp; "€"</f>
        <v>+375,81€
            5073,42€</v>
      </c>
      <c r="S34" s="12" t="str">
        <f>"+" &amp; ROUND($C34*Tab_ERA37[[#Headers],[9%]],2) &amp; "€
            " &amp; ROUND($C34*(1+Tab_ERA37[[#Headers],[9%]]),2) &amp; "€"</f>
        <v>+422,79€
            5120,4€</v>
      </c>
      <c r="T34" s="12" t="str">
        <f>"+" &amp; ROUND($C34*Tab_ERA37[[#Headers],[9%]],2) &amp; "€
            " &amp; ROUND($C34*(1+Tab_ERA37[[#Headers],[9%]]),2) &amp; "€"</f>
        <v>+422,79€
            5120,4€</v>
      </c>
      <c r="U34" s="12" t="str">
        <f>"+" &amp; ROUND($C34*Tab_ERA37[[#Headers],[10%]],2) &amp; "€
            " &amp; ROUND($C34*(1+Tab_ERA37[[#Headers],[10%]]),2) &amp; "€"</f>
        <v>+469,76€
            5167,37€</v>
      </c>
      <c r="V34" s="12" t="str">
        <f>"+" &amp; ROUND($C34*Tab_ERA37[[#Headers],[10%]],2) &amp; "€
            " &amp; ROUND($C34*(1+Tab_ERA37[[#Headers],[10%]]),2) &amp; "€"</f>
        <v>+469,76€
            5167,37€</v>
      </c>
      <c r="W34" s="12" t="str">
        <f>"+" &amp; ROUND($C34*Tab_ERA37[[#Headers],[11%]],2) &amp; "€
            " &amp; ROUND($C34*(1+Tab_ERA37[[#Headers],[11%]]),2) &amp; "€"</f>
        <v>+516,74€
            5214,35€</v>
      </c>
      <c r="X34" s="12" t="str">
        <f>"+" &amp; ROUND($C34*Tab_ERA37[[#Headers],[11%]],2) &amp; "€
            " &amp; ROUND($C34*(1+Tab_ERA37[[#Headers],[11%]]),2) &amp; "€"</f>
        <v>+516,74€
            5214,35€</v>
      </c>
      <c r="Y34" s="12" t="str">
        <f>"+" &amp; ROUND($C34*Tab_ERA37[[#Headers],[12%]],2) &amp; "€
            " &amp; ROUND($C34*(1+Tab_ERA37[[#Headers],[12%]]),2) &amp; "€"</f>
        <v>+563,71€
            5261,33€</v>
      </c>
      <c r="Z34" s="12" t="str">
        <f>"+" &amp; ROUND($C34*Tab_ERA37[[#Headers],[12%]],2) &amp; "€
            " &amp; ROUND($C34*(1+Tab_ERA37[[#Headers],[12%]]),2) &amp; "€"</f>
        <v>+563,71€
            5261,33€</v>
      </c>
      <c r="AA34" s="12" t="str">
        <f>"+" &amp; ROUND($C34*Tab_ERA37[[#Headers],[13%]],2) &amp; "€
            " &amp; ROUND($C34*(1+Tab_ERA37[[#Headers],[13%]]),2) &amp; "€"</f>
        <v>+610,69€
            5308,3€</v>
      </c>
      <c r="AB34" s="12" t="str">
        <f>"+" &amp; ROUND($C34*Tab_ERA37[[#Headers],[13%]],2) &amp; "€
            " &amp; ROUND($C34*(1+Tab_ERA37[[#Headers],[13%]]),2) &amp; "€"</f>
        <v>+610,69€
            5308,3€</v>
      </c>
      <c r="AC34" s="12" t="str">
        <f>"+" &amp; ROUND($C34*Tab_ERA37[[#Headers],[14%]],2) &amp; "€
            " &amp; ROUND($C34*(1+Tab_ERA37[[#Headers],[14%]]),2) &amp; "€"</f>
        <v>+657,67€
            5355,28€</v>
      </c>
      <c r="AD34" s="12" t="str">
        <f>"+" &amp; ROUND($C34*Tab_ERA37[[#Headers],[14%]],2) &amp; "€
            " &amp; ROUND($C34*(1+Tab_ERA37[[#Headers],[14%]]),2) &amp; "€"</f>
        <v>+657,67€
            5355,28€</v>
      </c>
      <c r="AE34" s="12" t="str">
        <f>"+" &amp; ROUND($C34*Tab_ERA37[[#Headers],[15%]],2) &amp; "€
            " &amp; ROUND($C34*(1+Tab_ERA37[[#Headers],[15%]]),2) &amp; "€"</f>
        <v>+704,64€
            5402,25€</v>
      </c>
      <c r="AF34" s="12" t="str">
        <f>"+" &amp; ROUND($C34*Tab_ERA37[[#Headers],[15%]],2) &amp; "€
            " &amp; ROUND($C34*(1+Tab_ERA37[[#Headers],[15%]]),2) &amp; "€"</f>
        <v>+704,64€
            5402,25€</v>
      </c>
      <c r="AG34" s="12" t="str">
        <f>"+" &amp; ROUND($C34*Tab_ERA37[[#Headers],[16%]],2) &amp; "€
            " &amp; ROUND($C34*(1+Tab_ERA37[[#Headers],[16%]]),2) &amp; "€"</f>
        <v>+751,62€
            5449,23€</v>
      </c>
    </row>
    <row r="35" spans="1:33" ht="41.4" x14ac:dyDescent="0.3">
      <c r="A35" s="4" t="s">
        <v>80</v>
      </c>
      <c r="B35" s="5">
        <v>1.385</v>
      </c>
      <c r="C35" s="6">
        <f t="shared" si="0"/>
        <v>5024.3003305785123</v>
      </c>
      <c r="D35" s="12" t="str">
        <f>"+" &amp; ROUND($C35*Tab_ERA37[[#Headers],[1%]],2) &amp; "€
            " &amp; ROUND($C35*(1+Tab_ERA37[[#Headers],[1%]]),2) &amp; "€"</f>
        <v>+50,24€
            5074,54€</v>
      </c>
      <c r="E35" s="12" t="str">
        <f>"+" &amp; ROUND($C35*Tab_ERA37[[#Headers],[2%]],2) &amp; "€
            " &amp; ROUND($C35*(1+Tab_ERA37[[#Headers],[2%]]),2) &amp; "€"</f>
        <v>+100,49€
            5124,79€</v>
      </c>
      <c r="F35" s="12" t="str">
        <f>"+" &amp; ROUND($C35*Tab_ERA37[[#Headers],[2%]],2) &amp; "€
            " &amp; ROUND($C35*(1+Tab_ERA37[[#Headers],[2%]]),2) &amp; "€"</f>
        <v>+100,49€
            5124,79€</v>
      </c>
      <c r="G35" s="12" t="str">
        <f>"+" &amp; ROUND($C35*Tab_ERA37[[#Headers],[3%]],2) &amp; "€
            " &amp; ROUND($C35*(1+Tab_ERA37[[#Headers],[3%]]),2) &amp; "€"</f>
        <v>+150,73€
            5175,03€</v>
      </c>
      <c r="H35" s="12" t="str">
        <f>"+" &amp; ROUND($C35*Tab_ERA37[[#Headers],[3%]],2) &amp; "€
            " &amp; ROUND($C35*(1+Tab_ERA37[[#Headers],[3%]]),2) &amp; "€"</f>
        <v>+150,73€
            5175,03€</v>
      </c>
      <c r="I35" s="12" t="str">
        <f>"+" &amp; ROUND($C35*Tab_ERA37[[#Headers],[4%]],2) &amp; "€
            " &amp; ROUND($C35*(1+Tab_ERA37[[#Headers],[4%]]),2) &amp; "€"</f>
        <v>+200,97€
            5225,27€</v>
      </c>
      <c r="J35" s="12" t="str">
        <f>"+" &amp; ROUND($C35*Tab_ERA37[[#Headers],[4%]],2) &amp; "€
            " &amp; ROUND($C35*(1+Tab_ERA37[[#Headers],[4%]]),2) &amp; "€"</f>
        <v>+200,97€
            5225,27€</v>
      </c>
      <c r="K35" s="12" t="str">
        <f>"+" &amp; ROUND($C35*Tab_ERA37[[#Headers],[5%]],2) &amp; "€
            " &amp; ROUND($C35*(1+Tab_ERA37[[#Headers],[5%]]),2) &amp; "€"</f>
        <v>+251,22€
            5275,52€</v>
      </c>
      <c r="L35" s="12" t="str">
        <f>"+" &amp; ROUND($C35*Tab_ERA37[[#Headers],[5%]],2) &amp; "€
            " &amp; ROUND($C35*(1+Tab_ERA37[[#Headers],[5%]]),2) &amp; "€"</f>
        <v>+251,22€
            5275,52€</v>
      </c>
      <c r="M35" s="12" t="str">
        <f>"+" &amp; ROUND($C35*Tab_ERA37[[#Headers],[6%]],2) &amp; "€
            " &amp; ROUND($C35*(1+Tab_ERA37[[#Headers],[6%]]),2) &amp; "€"</f>
        <v>+301,46€
            5325,76€</v>
      </c>
      <c r="N35" s="12" t="str">
        <f>"+" &amp; ROUND($C35*Tab_ERA37[[#Headers],[6%]],2) &amp; "€
            " &amp; ROUND($C35*(1+Tab_ERA37[[#Headers],[6%]]),2) &amp; "€"</f>
        <v>+301,46€
            5325,76€</v>
      </c>
      <c r="O35" s="12" t="str">
        <f>"+" &amp; ROUND($C35*Tab_ERA37[[#Headers],[7%]],2) &amp; "€
            " &amp; ROUND($C35*(1+Tab_ERA37[[#Headers],[7%]]),2) &amp; "€"</f>
        <v>+351,7€
            5376€</v>
      </c>
      <c r="P35" s="12" t="str">
        <f>"+" &amp; ROUND($C35*Tab_ERA37[[#Headers],[7%]],2) &amp; "€
            " &amp; ROUND($C35*(1+Tab_ERA37[[#Headers],[7%]]),2) &amp; "€"</f>
        <v>+351,7€
            5376€</v>
      </c>
      <c r="Q35" s="12" t="str">
        <f>"+" &amp; ROUND($C35*Tab_ERA37[[#Headers],[8%]],2) &amp; "€
            " &amp; ROUND($C35*(1+Tab_ERA37[[#Headers],[8%]]),2) &amp; "€"</f>
        <v>+401,94€
            5426,24€</v>
      </c>
      <c r="R35" s="12" t="str">
        <f>"+" &amp; ROUND($C35*Tab_ERA37[[#Headers],[8%]],2) &amp; "€
            " &amp; ROUND($C35*(1+Tab_ERA37[[#Headers],[8%]]),2) &amp; "€"</f>
        <v>+401,94€
            5426,24€</v>
      </c>
      <c r="S35" s="12" t="str">
        <f>"+" &amp; ROUND($C35*Tab_ERA37[[#Headers],[9%]],2) &amp; "€
            " &amp; ROUND($C35*(1+Tab_ERA37[[#Headers],[9%]]),2) &amp; "€"</f>
        <v>+452,19€
            5476,49€</v>
      </c>
      <c r="T35" s="12" t="str">
        <f>"+" &amp; ROUND($C35*Tab_ERA37[[#Headers],[9%]],2) &amp; "€
            " &amp; ROUND($C35*(1+Tab_ERA37[[#Headers],[9%]]),2) &amp; "€"</f>
        <v>+452,19€
            5476,49€</v>
      </c>
      <c r="U35" s="12" t="str">
        <f>"+" &amp; ROUND($C35*Tab_ERA37[[#Headers],[10%]],2) &amp; "€
            " &amp; ROUND($C35*(1+Tab_ERA37[[#Headers],[10%]]),2) &amp; "€"</f>
        <v>+502,43€
            5526,73€</v>
      </c>
      <c r="V35" s="12" t="str">
        <f>"+" &amp; ROUND($C35*Tab_ERA37[[#Headers],[10%]],2) &amp; "€
            " &amp; ROUND($C35*(1+Tab_ERA37[[#Headers],[10%]]),2) &amp; "€"</f>
        <v>+502,43€
            5526,73€</v>
      </c>
      <c r="W35" s="12" t="str">
        <f>"+" &amp; ROUND($C35*Tab_ERA37[[#Headers],[11%]],2) &amp; "€
            " &amp; ROUND($C35*(1+Tab_ERA37[[#Headers],[11%]]),2) &amp; "€"</f>
        <v>+552,67€
            5576,97€</v>
      </c>
      <c r="X35" s="12" t="str">
        <f>"+" &amp; ROUND($C35*Tab_ERA37[[#Headers],[11%]],2) &amp; "€
            " &amp; ROUND($C35*(1+Tab_ERA37[[#Headers],[11%]]),2) &amp; "€"</f>
        <v>+552,67€
            5576,97€</v>
      </c>
      <c r="Y35" s="12" t="str">
        <f>"+" &amp; ROUND($C35*Tab_ERA37[[#Headers],[12%]],2) &amp; "€
            " &amp; ROUND($C35*(1+Tab_ERA37[[#Headers],[12%]]),2) &amp; "€"</f>
        <v>+602,92€
            5627,22€</v>
      </c>
      <c r="Z35" s="12" t="str">
        <f>"+" &amp; ROUND($C35*Tab_ERA37[[#Headers],[12%]],2) &amp; "€
            " &amp; ROUND($C35*(1+Tab_ERA37[[#Headers],[12%]]),2) &amp; "€"</f>
        <v>+602,92€
            5627,22€</v>
      </c>
      <c r="AA35" s="12" t="str">
        <f>"+" &amp; ROUND($C35*Tab_ERA37[[#Headers],[13%]],2) &amp; "€
            " &amp; ROUND($C35*(1+Tab_ERA37[[#Headers],[13%]]),2) &amp; "€"</f>
        <v>+653,16€
            5677,46€</v>
      </c>
      <c r="AB35" s="12" t="str">
        <f>"+" &amp; ROUND($C35*Tab_ERA37[[#Headers],[13%]],2) &amp; "€
            " &amp; ROUND($C35*(1+Tab_ERA37[[#Headers],[13%]]),2) &amp; "€"</f>
        <v>+653,16€
            5677,46€</v>
      </c>
      <c r="AC35" s="12" t="str">
        <f>"+" &amp; ROUND($C35*Tab_ERA37[[#Headers],[14%]],2) &amp; "€
            " &amp; ROUND($C35*(1+Tab_ERA37[[#Headers],[14%]]),2) &amp; "€"</f>
        <v>+703,4€
            5727,7€</v>
      </c>
      <c r="AD35" s="12" t="str">
        <f>"+" &amp; ROUND($C35*Tab_ERA37[[#Headers],[14%]],2) &amp; "€
            " &amp; ROUND($C35*(1+Tab_ERA37[[#Headers],[14%]]),2) &amp; "€"</f>
        <v>+703,4€
            5727,7€</v>
      </c>
      <c r="AE35" s="12" t="str">
        <f>"+" &amp; ROUND($C35*Tab_ERA37[[#Headers],[15%]],2) &amp; "€
            " &amp; ROUND($C35*(1+Tab_ERA37[[#Headers],[15%]]),2) &amp; "€"</f>
        <v>+753,65€
            5777,95€</v>
      </c>
      <c r="AF35" s="12" t="str">
        <f>"+" &amp; ROUND($C35*Tab_ERA37[[#Headers],[15%]],2) &amp; "€
            " &amp; ROUND($C35*(1+Tab_ERA37[[#Headers],[15%]]),2) &amp; "€"</f>
        <v>+753,65€
            5777,95€</v>
      </c>
      <c r="AG35" s="12" t="str">
        <f>"+" &amp; ROUND($C35*Tab_ERA37[[#Headers],[16%]],2) &amp; "€
            " &amp; ROUND($C35*(1+Tab_ERA37[[#Headers],[16%]]),2) &amp; "€"</f>
        <v>+803,89€
            5828,19€</v>
      </c>
    </row>
    <row r="36" spans="1:33" ht="41.4" x14ac:dyDescent="0.3">
      <c r="A36" s="4" t="s">
        <v>81</v>
      </c>
      <c r="B36" s="5">
        <v>1.4750000000000001</v>
      </c>
      <c r="C36" s="6">
        <f t="shared" si="0"/>
        <v>5350.9889256198348</v>
      </c>
      <c r="D36" s="12" t="str">
        <f>"+" &amp; ROUND($C36*Tab_ERA37[[#Headers],[1%]],2) &amp; "€
            " &amp; ROUND($C36*(1+Tab_ERA37[[#Headers],[1%]]),2) &amp; "€"</f>
        <v>+53,51€
            5404,5€</v>
      </c>
      <c r="E36" s="12" t="str">
        <f>"+" &amp; ROUND($C36*Tab_ERA37[[#Headers],[2%]],2) &amp; "€
            " &amp; ROUND($C36*(1+Tab_ERA37[[#Headers],[2%]]),2) &amp; "€"</f>
        <v>+107,02€
            5458,01€</v>
      </c>
      <c r="F36" s="12" t="str">
        <f>"+" &amp; ROUND($C36*Tab_ERA37[[#Headers],[2%]],2) &amp; "€
            " &amp; ROUND($C36*(1+Tab_ERA37[[#Headers],[2%]]),2) &amp; "€"</f>
        <v>+107,02€
            5458,01€</v>
      </c>
      <c r="G36" s="12" t="str">
        <f>"+" &amp; ROUND($C36*Tab_ERA37[[#Headers],[3%]],2) &amp; "€
            " &amp; ROUND($C36*(1+Tab_ERA37[[#Headers],[3%]]),2) &amp; "€"</f>
        <v>+160,53€
            5511,52€</v>
      </c>
      <c r="H36" s="12" t="str">
        <f>"+" &amp; ROUND($C36*Tab_ERA37[[#Headers],[3%]],2) &amp; "€
            " &amp; ROUND($C36*(1+Tab_ERA37[[#Headers],[3%]]),2) &amp; "€"</f>
        <v>+160,53€
            5511,52€</v>
      </c>
      <c r="I36" s="12" t="str">
        <f>"+" &amp; ROUND($C36*Tab_ERA37[[#Headers],[4%]],2) &amp; "€
            " &amp; ROUND($C36*(1+Tab_ERA37[[#Headers],[4%]]),2) &amp; "€"</f>
        <v>+214,04€
            5565,03€</v>
      </c>
      <c r="J36" s="12" t="str">
        <f>"+" &amp; ROUND($C36*Tab_ERA37[[#Headers],[4%]],2) &amp; "€
            " &amp; ROUND($C36*(1+Tab_ERA37[[#Headers],[4%]]),2) &amp; "€"</f>
        <v>+214,04€
            5565,03€</v>
      </c>
      <c r="K36" s="12" t="str">
        <f>"+" &amp; ROUND($C36*Tab_ERA37[[#Headers],[5%]],2) &amp; "€
            " &amp; ROUND($C36*(1+Tab_ERA37[[#Headers],[5%]]),2) &amp; "€"</f>
        <v>+267,55€
            5618,54€</v>
      </c>
      <c r="L36" s="12" t="str">
        <f>"+" &amp; ROUND($C36*Tab_ERA37[[#Headers],[5%]],2) &amp; "€
            " &amp; ROUND($C36*(1+Tab_ERA37[[#Headers],[5%]]),2) &amp; "€"</f>
        <v>+267,55€
            5618,54€</v>
      </c>
      <c r="M36" s="12" t="str">
        <f>"+" &amp; ROUND($C36*Tab_ERA37[[#Headers],[6%]],2) &amp; "€
            " &amp; ROUND($C36*(1+Tab_ERA37[[#Headers],[6%]]),2) &amp; "€"</f>
        <v>+321,06€
            5672,05€</v>
      </c>
      <c r="N36" s="12" t="str">
        <f>"+" &amp; ROUND($C36*Tab_ERA37[[#Headers],[6%]],2) &amp; "€
            " &amp; ROUND($C36*(1+Tab_ERA37[[#Headers],[6%]]),2) &amp; "€"</f>
        <v>+321,06€
            5672,05€</v>
      </c>
      <c r="O36" s="12" t="str">
        <f>"+" &amp; ROUND($C36*Tab_ERA37[[#Headers],[7%]],2) &amp; "€
            " &amp; ROUND($C36*(1+Tab_ERA37[[#Headers],[7%]]),2) &amp; "€"</f>
        <v>+374,57€
            5725,56€</v>
      </c>
      <c r="P36" s="12" t="str">
        <f>"+" &amp; ROUND($C36*Tab_ERA37[[#Headers],[7%]],2) &amp; "€
            " &amp; ROUND($C36*(1+Tab_ERA37[[#Headers],[7%]]),2) &amp; "€"</f>
        <v>+374,57€
            5725,56€</v>
      </c>
      <c r="Q36" s="12" t="str">
        <f>"+" &amp; ROUND($C36*Tab_ERA37[[#Headers],[8%]],2) &amp; "€
            " &amp; ROUND($C36*(1+Tab_ERA37[[#Headers],[8%]]),2) &amp; "€"</f>
        <v>+428,08€
            5779,07€</v>
      </c>
      <c r="R36" s="12" t="str">
        <f>"+" &amp; ROUND($C36*Tab_ERA37[[#Headers],[8%]],2) &amp; "€
            " &amp; ROUND($C36*(1+Tab_ERA37[[#Headers],[8%]]),2) &amp; "€"</f>
        <v>+428,08€
            5779,07€</v>
      </c>
      <c r="S36" s="12" t="str">
        <f>"+" &amp; ROUND($C36*Tab_ERA37[[#Headers],[9%]],2) &amp; "€
            " &amp; ROUND($C36*(1+Tab_ERA37[[#Headers],[9%]]),2) &amp; "€"</f>
        <v>+481,59€
            5832,58€</v>
      </c>
      <c r="T36" s="12" t="str">
        <f>"+" &amp; ROUND($C36*Tab_ERA37[[#Headers],[9%]],2) &amp; "€
            " &amp; ROUND($C36*(1+Tab_ERA37[[#Headers],[9%]]),2) &amp; "€"</f>
        <v>+481,59€
            5832,58€</v>
      </c>
      <c r="U36" s="12" t="str">
        <f>"+" &amp; ROUND($C36*Tab_ERA37[[#Headers],[10%]],2) &amp; "€
            " &amp; ROUND($C36*(1+Tab_ERA37[[#Headers],[10%]]),2) &amp; "€"</f>
        <v>+535,1€
            5886,09€</v>
      </c>
      <c r="V36" s="12" t="str">
        <f>"+" &amp; ROUND($C36*Tab_ERA37[[#Headers],[10%]],2) &amp; "€
            " &amp; ROUND($C36*(1+Tab_ERA37[[#Headers],[10%]]),2) &amp; "€"</f>
        <v>+535,1€
            5886,09€</v>
      </c>
      <c r="W36" s="12" t="str">
        <f>"+" &amp; ROUND($C36*Tab_ERA37[[#Headers],[11%]],2) &amp; "€
            " &amp; ROUND($C36*(1+Tab_ERA37[[#Headers],[11%]]),2) &amp; "€"</f>
        <v>+588,61€
            5939,6€</v>
      </c>
      <c r="X36" s="12" t="str">
        <f>"+" &amp; ROUND($C36*Tab_ERA37[[#Headers],[11%]],2) &amp; "€
            " &amp; ROUND($C36*(1+Tab_ERA37[[#Headers],[11%]]),2) &amp; "€"</f>
        <v>+588,61€
            5939,6€</v>
      </c>
      <c r="Y36" s="12" t="str">
        <f>"+" &amp; ROUND($C36*Tab_ERA37[[#Headers],[12%]],2) &amp; "€
            " &amp; ROUND($C36*(1+Tab_ERA37[[#Headers],[12%]]),2) &amp; "€"</f>
        <v>+642,12€
            5993,11€</v>
      </c>
      <c r="Z36" s="12" t="str">
        <f>"+" &amp; ROUND($C36*Tab_ERA37[[#Headers],[12%]],2) &amp; "€
            " &amp; ROUND($C36*(1+Tab_ERA37[[#Headers],[12%]]),2) &amp; "€"</f>
        <v>+642,12€
            5993,11€</v>
      </c>
      <c r="AA36" s="12" t="str">
        <f>"+" &amp; ROUND($C36*Tab_ERA37[[#Headers],[13%]],2) &amp; "€
            " &amp; ROUND($C36*(1+Tab_ERA37[[#Headers],[13%]]),2) &amp; "€"</f>
        <v>+695,63€
            6046,62€</v>
      </c>
      <c r="AB36" s="12" t="str">
        <f>"+" &amp; ROUND($C36*Tab_ERA37[[#Headers],[13%]],2) &amp; "€
            " &amp; ROUND($C36*(1+Tab_ERA37[[#Headers],[13%]]),2) &amp; "€"</f>
        <v>+695,63€
            6046,62€</v>
      </c>
      <c r="AC36" s="12" t="str">
        <f>"+" &amp; ROUND($C36*Tab_ERA37[[#Headers],[14%]],2) &amp; "€
            " &amp; ROUND($C36*(1+Tab_ERA37[[#Headers],[14%]]),2) &amp; "€"</f>
        <v>+749,14€
            6100,13€</v>
      </c>
      <c r="AD36" s="12" t="str">
        <f>"+" &amp; ROUND($C36*Tab_ERA37[[#Headers],[14%]],2) &amp; "€
            " &amp; ROUND($C36*(1+Tab_ERA37[[#Headers],[14%]]),2) &amp; "€"</f>
        <v>+749,14€
            6100,13€</v>
      </c>
      <c r="AE36" s="12" t="str">
        <f>"+" &amp; ROUND($C36*Tab_ERA37[[#Headers],[15%]],2) &amp; "€
            " &amp; ROUND($C36*(1+Tab_ERA37[[#Headers],[15%]]),2) &amp; "€"</f>
        <v>+802,65€
            6153,64€</v>
      </c>
      <c r="AF36" s="12" t="str">
        <f>"+" &amp; ROUND($C36*Tab_ERA37[[#Headers],[15%]],2) &amp; "€
            " &amp; ROUND($C36*(1+Tab_ERA37[[#Headers],[15%]]),2) &amp; "€"</f>
        <v>+802,65€
            6153,64€</v>
      </c>
      <c r="AG36" s="12" t="str">
        <f>"+" &amp; ROUND($C36*Tab_ERA37[[#Headers],[16%]],2) &amp; "€
            " &amp; ROUND($C36*(1+Tab_ERA37[[#Headers],[16%]]),2) &amp; "€"</f>
        <v>+856,16€
            6207,15€</v>
      </c>
    </row>
    <row r="37" spans="1:33" ht="41.4" x14ac:dyDescent="0.3">
      <c r="A37" s="4" t="s">
        <v>82</v>
      </c>
      <c r="B37" s="5">
        <v>1.5649999999999999</v>
      </c>
      <c r="C37" s="6">
        <f t="shared" si="0"/>
        <v>5677.1454545454535</v>
      </c>
      <c r="D37" s="12" t="str">
        <f>"+" &amp; ROUND($C37*Tab_ERA37[[#Headers],[1%]],2) &amp; "€
            " &amp; ROUND($C37*(1+Tab_ERA37[[#Headers],[1%]]),2) &amp; "€"</f>
        <v>+56,77€
            5733,92€</v>
      </c>
      <c r="E37" s="12" t="str">
        <f>"+" &amp; ROUND($C37*Tab_ERA37[[#Headers],[2%]],2) &amp; "€
            " &amp; ROUND($C37*(1+Tab_ERA37[[#Headers],[2%]]),2) &amp; "€"</f>
        <v>+113,54€
            5790,69€</v>
      </c>
      <c r="F37" s="12" t="str">
        <f>"+" &amp; ROUND($C37*Tab_ERA37[[#Headers],[2%]],2) &amp; "€
            " &amp; ROUND($C37*(1+Tab_ERA37[[#Headers],[2%]]),2) &amp; "€"</f>
        <v>+113,54€
            5790,69€</v>
      </c>
      <c r="G37" s="12" t="str">
        <f>"+" &amp; ROUND($C37*Tab_ERA37[[#Headers],[3%]],2) &amp; "€
            " &amp; ROUND($C37*(1+Tab_ERA37[[#Headers],[3%]]),2) &amp; "€"</f>
        <v>+170,31€
            5847,46€</v>
      </c>
      <c r="H37" s="12" t="str">
        <f>"+" &amp; ROUND($C37*Tab_ERA37[[#Headers],[3%]],2) &amp; "€
            " &amp; ROUND($C37*(1+Tab_ERA37[[#Headers],[3%]]),2) &amp; "€"</f>
        <v>+170,31€
            5847,46€</v>
      </c>
      <c r="I37" s="12" t="str">
        <f>"+" &amp; ROUND($C37*Tab_ERA37[[#Headers],[4%]],2) &amp; "€
            " &amp; ROUND($C37*(1+Tab_ERA37[[#Headers],[4%]]),2) &amp; "€"</f>
        <v>+227,09€
            5904,23€</v>
      </c>
      <c r="J37" s="12" t="str">
        <f>"+" &amp; ROUND($C37*Tab_ERA37[[#Headers],[4%]],2) &amp; "€
            " &amp; ROUND($C37*(1+Tab_ERA37[[#Headers],[4%]]),2) &amp; "€"</f>
        <v>+227,09€
            5904,23€</v>
      </c>
      <c r="K37" s="12" t="str">
        <f>"+" &amp; ROUND($C37*Tab_ERA37[[#Headers],[5%]],2) &amp; "€
            " &amp; ROUND($C37*(1+Tab_ERA37[[#Headers],[5%]]),2) &amp; "€"</f>
        <v>+283,86€
            5961€</v>
      </c>
      <c r="L37" s="12" t="str">
        <f>"+" &amp; ROUND($C37*Tab_ERA37[[#Headers],[5%]],2) &amp; "€
            " &amp; ROUND($C37*(1+Tab_ERA37[[#Headers],[5%]]),2) &amp; "€"</f>
        <v>+283,86€
            5961€</v>
      </c>
      <c r="M37" s="12" t="str">
        <f>"+" &amp; ROUND($C37*Tab_ERA37[[#Headers],[6%]],2) &amp; "€
            " &amp; ROUND($C37*(1+Tab_ERA37[[#Headers],[6%]]),2) &amp; "€"</f>
        <v>+340,63€
            6017,77€</v>
      </c>
      <c r="N37" s="12" t="str">
        <f>"+" &amp; ROUND($C37*Tab_ERA37[[#Headers],[6%]],2) &amp; "€
            " &amp; ROUND($C37*(1+Tab_ERA37[[#Headers],[6%]]),2) &amp; "€"</f>
        <v>+340,63€
            6017,77€</v>
      </c>
      <c r="O37" s="12" t="str">
        <f>"+" &amp; ROUND($C37*Tab_ERA37[[#Headers],[7%]],2) &amp; "€
            " &amp; ROUND($C37*(1+Tab_ERA37[[#Headers],[7%]]),2) &amp; "€"</f>
        <v>+397,4€
            6074,55€</v>
      </c>
      <c r="P37" s="12" t="str">
        <f>"+" &amp; ROUND($C37*Tab_ERA37[[#Headers],[7%]],2) &amp; "€
            " &amp; ROUND($C37*(1+Tab_ERA37[[#Headers],[7%]]),2) &amp; "€"</f>
        <v>+397,4€
            6074,55€</v>
      </c>
      <c r="Q37" s="12" t="str">
        <f>"+" &amp; ROUND($C37*Tab_ERA37[[#Headers],[8%]],2) &amp; "€
            " &amp; ROUND($C37*(1+Tab_ERA37[[#Headers],[8%]]),2) &amp; "€"</f>
        <v>+454,17€
            6131,32€</v>
      </c>
      <c r="R37" s="12" t="str">
        <f>"+" &amp; ROUND($C37*Tab_ERA37[[#Headers],[8%]],2) &amp; "€
            " &amp; ROUND($C37*(1+Tab_ERA37[[#Headers],[8%]]),2) &amp; "€"</f>
        <v>+454,17€
            6131,32€</v>
      </c>
      <c r="S37" s="12" t="str">
        <f>"+" &amp; ROUND($C37*Tab_ERA37[[#Headers],[9%]],2) &amp; "€
            " &amp; ROUND($C37*(1+Tab_ERA37[[#Headers],[9%]]),2) &amp; "€"</f>
        <v>+510,94€
            6188,09€</v>
      </c>
      <c r="T37" s="12" t="str">
        <f>"+" &amp; ROUND($C37*Tab_ERA37[[#Headers],[9%]],2) &amp; "€
            " &amp; ROUND($C37*(1+Tab_ERA37[[#Headers],[9%]]),2) &amp; "€"</f>
        <v>+510,94€
            6188,09€</v>
      </c>
      <c r="U37" s="12" t="str">
        <f>"+" &amp; ROUND($C37*Tab_ERA37[[#Headers],[10%]],2) &amp; "€
            " &amp; ROUND($C37*(1+Tab_ERA37[[#Headers],[10%]]),2) &amp; "€"</f>
        <v>+567,71€
            6244,86€</v>
      </c>
      <c r="V37" s="12" t="str">
        <f>"+" &amp; ROUND($C37*Tab_ERA37[[#Headers],[10%]],2) &amp; "€
            " &amp; ROUND($C37*(1+Tab_ERA37[[#Headers],[10%]]),2) &amp; "€"</f>
        <v>+567,71€
            6244,86€</v>
      </c>
      <c r="W37" s="12" t="str">
        <f>"+" &amp; ROUND($C37*Tab_ERA37[[#Headers],[11%]],2) &amp; "€
            " &amp; ROUND($C37*(1+Tab_ERA37[[#Headers],[11%]]),2) &amp; "€"</f>
        <v>+624,49€
            6301,63€</v>
      </c>
      <c r="X37" s="12" t="str">
        <f>"+" &amp; ROUND($C37*Tab_ERA37[[#Headers],[11%]],2) &amp; "€
            " &amp; ROUND($C37*(1+Tab_ERA37[[#Headers],[11%]]),2) &amp; "€"</f>
        <v>+624,49€
            6301,63€</v>
      </c>
      <c r="Y37" s="12" t="str">
        <f>"+" &amp; ROUND($C37*Tab_ERA37[[#Headers],[12%]],2) &amp; "€
            " &amp; ROUND($C37*(1+Tab_ERA37[[#Headers],[12%]]),2) &amp; "€"</f>
        <v>+681,26€
            6358,4€</v>
      </c>
      <c r="Z37" s="12" t="str">
        <f>"+" &amp; ROUND($C37*Tab_ERA37[[#Headers],[12%]],2) &amp; "€
            " &amp; ROUND($C37*(1+Tab_ERA37[[#Headers],[12%]]),2) &amp; "€"</f>
        <v>+681,26€
            6358,4€</v>
      </c>
      <c r="AA37" s="12" t="str">
        <f>"+" &amp; ROUND($C37*Tab_ERA37[[#Headers],[13%]],2) &amp; "€
            " &amp; ROUND($C37*(1+Tab_ERA37[[#Headers],[13%]]),2) &amp; "€"</f>
        <v>+738,03€
            6415,17€</v>
      </c>
      <c r="AB37" s="12" t="str">
        <f>"+" &amp; ROUND($C37*Tab_ERA37[[#Headers],[13%]],2) &amp; "€
            " &amp; ROUND($C37*(1+Tab_ERA37[[#Headers],[13%]]),2) &amp; "€"</f>
        <v>+738,03€
            6415,17€</v>
      </c>
      <c r="AC37" s="12" t="str">
        <f>"+" &amp; ROUND($C37*Tab_ERA37[[#Headers],[14%]],2) &amp; "€
            " &amp; ROUND($C37*(1+Tab_ERA37[[#Headers],[14%]]),2) &amp; "€"</f>
        <v>+794,8€
            6471,95€</v>
      </c>
      <c r="AD37" s="12" t="str">
        <f>"+" &amp; ROUND($C37*Tab_ERA37[[#Headers],[14%]],2) &amp; "€
            " &amp; ROUND($C37*(1+Tab_ERA37[[#Headers],[14%]]),2) &amp; "€"</f>
        <v>+794,8€
            6471,95€</v>
      </c>
      <c r="AE37" s="12" t="str">
        <f>"+" &amp; ROUND($C37*Tab_ERA37[[#Headers],[15%]],2) &amp; "€
            " &amp; ROUND($C37*(1+Tab_ERA37[[#Headers],[15%]]),2) &amp; "€"</f>
        <v>+851,57€
            6528,72€</v>
      </c>
      <c r="AF37" s="12" t="str">
        <f>"+" &amp; ROUND($C37*Tab_ERA37[[#Headers],[15%]],2) &amp; "€
            " &amp; ROUND($C37*(1+Tab_ERA37[[#Headers],[15%]]),2) &amp; "€"</f>
        <v>+851,57€
            6528,72€</v>
      </c>
      <c r="AG37" s="12" t="str">
        <f>"+" &amp; ROUND($C37*Tab_ERA37[[#Headers],[16%]],2) &amp; "€
            " &amp; ROUND($C37*(1+Tab_ERA37[[#Headers],[16%]]),2) &amp; "€"</f>
        <v>+908,34€
            6585,49€</v>
      </c>
    </row>
    <row r="38" spans="1:33" ht="41.4" x14ac:dyDescent="0.3">
      <c r="A38" s="4" t="s">
        <v>83</v>
      </c>
      <c r="B38" s="5">
        <v>1.655</v>
      </c>
      <c r="C38" s="6">
        <f t="shared" si="0"/>
        <v>6003.834049586776</v>
      </c>
      <c r="D38" s="12" t="str">
        <f>"+" &amp; ROUND($C38*Tab_ERA37[[#Headers],[1%]],2) &amp; "€
            " &amp; ROUND($C38*(1+Tab_ERA37[[#Headers],[1%]]),2) &amp; "€"</f>
        <v>+60,04€
            6063,87€</v>
      </c>
      <c r="E38" s="12" t="str">
        <f>"+" &amp; ROUND($C38*Tab_ERA37[[#Headers],[2%]],2) &amp; "€
            " &amp; ROUND($C38*(1+Tab_ERA37[[#Headers],[2%]]),2) &amp; "€"</f>
        <v>+120,08€
            6123,91€</v>
      </c>
      <c r="F38" s="12" t="str">
        <f>"+" &amp; ROUND($C38*Tab_ERA37[[#Headers],[2%]],2) &amp; "€
            " &amp; ROUND($C38*(1+Tab_ERA37[[#Headers],[2%]]),2) &amp; "€"</f>
        <v>+120,08€
            6123,91€</v>
      </c>
      <c r="G38" s="12" t="str">
        <f>"+" &amp; ROUND($C38*Tab_ERA37[[#Headers],[3%]],2) &amp; "€
            " &amp; ROUND($C38*(1+Tab_ERA37[[#Headers],[3%]]),2) &amp; "€"</f>
        <v>+180,12€
            6183,95€</v>
      </c>
      <c r="H38" s="12" t="str">
        <f>"+" &amp; ROUND($C38*Tab_ERA37[[#Headers],[3%]],2) &amp; "€
            " &amp; ROUND($C38*(1+Tab_ERA37[[#Headers],[3%]]),2) &amp; "€"</f>
        <v>+180,12€
            6183,95€</v>
      </c>
      <c r="I38" s="12" t="str">
        <f>"+" &amp; ROUND($C38*Tab_ERA37[[#Headers],[4%]],2) &amp; "€
            " &amp; ROUND($C38*(1+Tab_ERA37[[#Headers],[4%]]),2) &amp; "€"</f>
        <v>+240,15€
            6243,99€</v>
      </c>
      <c r="J38" s="12" t="str">
        <f>"+" &amp; ROUND($C38*Tab_ERA37[[#Headers],[4%]],2) &amp; "€
            " &amp; ROUND($C38*(1+Tab_ERA37[[#Headers],[4%]]),2) &amp; "€"</f>
        <v>+240,15€
            6243,99€</v>
      </c>
      <c r="K38" s="12" t="str">
        <f>"+" &amp; ROUND($C38*Tab_ERA37[[#Headers],[5%]],2) &amp; "€
            " &amp; ROUND($C38*(1+Tab_ERA37[[#Headers],[5%]]),2) &amp; "€"</f>
        <v>+300,19€
            6304,03€</v>
      </c>
      <c r="L38" s="12" t="str">
        <f>"+" &amp; ROUND($C38*Tab_ERA37[[#Headers],[5%]],2) &amp; "€
            " &amp; ROUND($C38*(1+Tab_ERA37[[#Headers],[5%]]),2) &amp; "€"</f>
        <v>+300,19€
            6304,03€</v>
      </c>
      <c r="M38" s="12" t="str">
        <f>"+" &amp; ROUND($C38*Tab_ERA37[[#Headers],[6%]],2) &amp; "€
            " &amp; ROUND($C38*(1+Tab_ERA37[[#Headers],[6%]]),2) &amp; "€"</f>
        <v>+360,23€
            6364,06€</v>
      </c>
      <c r="N38" s="12" t="str">
        <f>"+" &amp; ROUND($C38*Tab_ERA37[[#Headers],[6%]],2) &amp; "€
            " &amp; ROUND($C38*(1+Tab_ERA37[[#Headers],[6%]]),2) &amp; "€"</f>
        <v>+360,23€
            6364,06€</v>
      </c>
      <c r="O38" s="12" t="str">
        <f>"+" &amp; ROUND($C38*Tab_ERA37[[#Headers],[7%]],2) &amp; "€
            " &amp; ROUND($C38*(1+Tab_ERA37[[#Headers],[7%]]),2) &amp; "€"</f>
        <v>+420,27€
            6424,1€</v>
      </c>
      <c r="P38" s="12" t="str">
        <f>"+" &amp; ROUND($C38*Tab_ERA37[[#Headers],[7%]],2) &amp; "€
            " &amp; ROUND($C38*(1+Tab_ERA37[[#Headers],[7%]]),2) &amp; "€"</f>
        <v>+420,27€
            6424,1€</v>
      </c>
      <c r="Q38" s="12" t="str">
        <f>"+" &amp; ROUND($C38*Tab_ERA37[[#Headers],[8%]],2) &amp; "€
            " &amp; ROUND($C38*(1+Tab_ERA37[[#Headers],[8%]]),2) &amp; "€"</f>
        <v>+480,31€
            6484,14€</v>
      </c>
      <c r="R38" s="12" t="str">
        <f>"+" &amp; ROUND($C38*Tab_ERA37[[#Headers],[8%]],2) &amp; "€
            " &amp; ROUND($C38*(1+Tab_ERA37[[#Headers],[8%]]),2) &amp; "€"</f>
        <v>+480,31€
            6484,14€</v>
      </c>
      <c r="S38" s="12" t="str">
        <f>"+" &amp; ROUND($C38*Tab_ERA37[[#Headers],[9%]],2) &amp; "€
            " &amp; ROUND($C38*(1+Tab_ERA37[[#Headers],[9%]]),2) &amp; "€"</f>
        <v>+540,35€
            6544,18€</v>
      </c>
      <c r="T38" s="12" t="str">
        <f>"+" &amp; ROUND($C38*Tab_ERA37[[#Headers],[9%]],2) &amp; "€
            " &amp; ROUND($C38*(1+Tab_ERA37[[#Headers],[9%]]),2) &amp; "€"</f>
        <v>+540,35€
            6544,18€</v>
      </c>
      <c r="U38" s="12" t="str">
        <f>"+" &amp; ROUND($C38*Tab_ERA37[[#Headers],[10%]],2) &amp; "€
            " &amp; ROUND($C38*(1+Tab_ERA37[[#Headers],[10%]]),2) &amp; "€"</f>
        <v>+600,38€
            6604,22€</v>
      </c>
      <c r="V38" s="12" t="str">
        <f>"+" &amp; ROUND($C38*Tab_ERA37[[#Headers],[10%]],2) &amp; "€
            " &amp; ROUND($C38*(1+Tab_ERA37[[#Headers],[10%]]),2) &amp; "€"</f>
        <v>+600,38€
            6604,22€</v>
      </c>
      <c r="W38" s="12" t="str">
        <f>"+" &amp; ROUND($C38*Tab_ERA37[[#Headers],[11%]],2) &amp; "€
            " &amp; ROUND($C38*(1+Tab_ERA37[[#Headers],[11%]]),2) &amp; "€"</f>
        <v>+660,42€
            6664,26€</v>
      </c>
      <c r="X38" s="12" t="str">
        <f>"+" &amp; ROUND($C38*Tab_ERA37[[#Headers],[11%]],2) &amp; "€
            " &amp; ROUND($C38*(1+Tab_ERA37[[#Headers],[11%]]),2) &amp; "€"</f>
        <v>+660,42€
            6664,26€</v>
      </c>
      <c r="Y38" s="12" t="str">
        <f>"+" &amp; ROUND($C38*Tab_ERA37[[#Headers],[12%]],2) &amp; "€
            " &amp; ROUND($C38*(1+Tab_ERA37[[#Headers],[12%]]),2) &amp; "€"</f>
        <v>+720,46€
            6724,29€</v>
      </c>
      <c r="Z38" s="12" t="str">
        <f>"+" &amp; ROUND($C38*Tab_ERA37[[#Headers],[12%]],2) &amp; "€
            " &amp; ROUND($C38*(1+Tab_ERA37[[#Headers],[12%]]),2) &amp; "€"</f>
        <v>+720,46€
            6724,29€</v>
      </c>
      <c r="AA38" s="12" t="str">
        <f>"+" &amp; ROUND($C38*Tab_ERA37[[#Headers],[13%]],2) &amp; "€
            " &amp; ROUND($C38*(1+Tab_ERA37[[#Headers],[13%]]),2) &amp; "€"</f>
        <v>+780,5€
            6784,33€</v>
      </c>
      <c r="AB38" s="12" t="str">
        <f>"+" &amp; ROUND($C38*Tab_ERA37[[#Headers],[13%]],2) &amp; "€
            " &amp; ROUND($C38*(1+Tab_ERA37[[#Headers],[13%]]),2) &amp; "€"</f>
        <v>+780,5€
            6784,33€</v>
      </c>
      <c r="AC38" s="12" t="str">
        <f>"+" &amp; ROUND($C38*Tab_ERA37[[#Headers],[14%]],2) &amp; "€
            " &amp; ROUND($C38*(1+Tab_ERA37[[#Headers],[14%]]),2) &amp; "€"</f>
        <v>+840,54€
            6844,37€</v>
      </c>
      <c r="AD38" s="12" t="str">
        <f>"+" &amp; ROUND($C38*Tab_ERA37[[#Headers],[14%]],2) &amp; "€
            " &amp; ROUND($C38*(1+Tab_ERA37[[#Headers],[14%]]),2) &amp; "€"</f>
        <v>+840,54€
            6844,37€</v>
      </c>
      <c r="AE38" s="12" t="str">
        <f>"+" &amp; ROUND($C38*Tab_ERA37[[#Headers],[15%]],2) &amp; "€
            " &amp; ROUND($C38*(1+Tab_ERA37[[#Headers],[15%]]),2) &amp; "€"</f>
        <v>+900,58€
            6904,41€</v>
      </c>
      <c r="AF38" s="12" t="str">
        <f>"+" &amp; ROUND($C38*Tab_ERA37[[#Headers],[15%]],2) &amp; "€
            " &amp; ROUND($C38*(1+Tab_ERA37[[#Headers],[15%]]),2) &amp; "€"</f>
        <v>+900,58€
            6904,41€</v>
      </c>
      <c r="AG38" s="12" t="str">
        <f>"+" &amp; ROUND($C38*Tab_ERA37[[#Headers],[16%]],2) &amp; "€
            " &amp; ROUND($C38*(1+Tab_ERA37[[#Headers],[16%]]),2) &amp; "€"</f>
        <v>+960,61€
            6964,45€</v>
      </c>
    </row>
    <row r="39" spans="1:33" ht="41.4" x14ac:dyDescent="0.3">
      <c r="A39" s="4" t="s">
        <v>84</v>
      </c>
      <c r="B39" s="5">
        <v>1.7649999999999999</v>
      </c>
      <c r="C39" s="6">
        <f t="shared" si="0"/>
        <v>6402.8836363636356</v>
      </c>
      <c r="D39" s="12" t="str">
        <f>"+" &amp; ROUND($C39*Tab_ERA37[[#Headers],[1%]],2) &amp; "€
            " &amp; ROUND($C39*(1+Tab_ERA37[[#Headers],[1%]]),2) &amp; "€"</f>
        <v>+64,03€
            6466,91€</v>
      </c>
      <c r="E39" s="12" t="str">
        <f>"+" &amp; ROUND($C39*Tab_ERA37[[#Headers],[2%]],2) &amp; "€
            " &amp; ROUND($C39*(1+Tab_ERA37[[#Headers],[2%]]),2) &amp; "€"</f>
        <v>+128,06€
            6530,94€</v>
      </c>
      <c r="F39" s="12" t="str">
        <f>"+" &amp; ROUND($C39*Tab_ERA37[[#Headers],[2%]],2) &amp; "€
            " &amp; ROUND($C39*(1+Tab_ERA37[[#Headers],[2%]]),2) &amp; "€"</f>
        <v>+128,06€
            6530,94€</v>
      </c>
      <c r="G39" s="12" t="str">
        <f>"+" &amp; ROUND($C39*Tab_ERA37[[#Headers],[3%]],2) &amp; "€
            " &amp; ROUND($C39*(1+Tab_ERA37[[#Headers],[3%]]),2) &amp; "€"</f>
        <v>+192,09€
            6594,97€</v>
      </c>
      <c r="H39" s="12" t="str">
        <f>"+" &amp; ROUND($C39*Tab_ERA37[[#Headers],[3%]],2) &amp; "€
            " &amp; ROUND($C39*(1+Tab_ERA37[[#Headers],[3%]]),2) &amp; "€"</f>
        <v>+192,09€
            6594,97€</v>
      </c>
      <c r="I39" s="12" t="str">
        <f>"+" &amp; ROUND($C39*Tab_ERA37[[#Headers],[4%]],2) &amp; "€
            " &amp; ROUND($C39*(1+Tab_ERA37[[#Headers],[4%]]),2) &amp; "€"</f>
        <v>+256,12€
            6659€</v>
      </c>
      <c r="J39" s="12" t="str">
        <f>"+" &amp; ROUND($C39*Tab_ERA37[[#Headers],[4%]],2) &amp; "€
            " &amp; ROUND($C39*(1+Tab_ERA37[[#Headers],[4%]]),2) &amp; "€"</f>
        <v>+256,12€
            6659€</v>
      </c>
      <c r="K39" s="12" t="str">
        <f>"+" &amp; ROUND($C39*Tab_ERA37[[#Headers],[5%]],2) &amp; "€
            " &amp; ROUND($C39*(1+Tab_ERA37[[#Headers],[5%]]),2) &amp; "€"</f>
        <v>+320,14€
            6723,03€</v>
      </c>
      <c r="L39" s="12" t="str">
        <f>"+" &amp; ROUND($C39*Tab_ERA37[[#Headers],[5%]],2) &amp; "€
            " &amp; ROUND($C39*(1+Tab_ERA37[[#Headers],[5%]]),2) &amp; "€"</f>
        <v>+320,14€
            6723,03€</v>
      </c>
      <c r="M39" s="12" t="str">
        <f>"+" &amp; ROUND($C39*Tab_ERA37[[#Headers],[6%]],2) &amp; "€
            " &amp; ROUND($C39*(1+Tab_ERA37[[#Headers],[6%]]),2) &amp; "€"</f>
        <v>+384,17€
            6787,06€</v>
      </c>
      <c r="N39" s="12" t="str">
        <f>"+" &amp; ROUND($C39*Tab_ERA37[[#Headers],[6%]],2) &amp; "€
            " &amp; ROUND($C39*(1+Tab_ERA37[[#Headers],[6%]]),2) &amp; "€"</f>
        <v>+384,17€
            6787,06€</v>
      </c>
      <c r="O39" s="12" t="str">
        <f>"+" &amp; ROUND($C39*Tab_ERA37[[#Headers],[7%]],2) &amp; "€
            " &amp; ROUND($C39*(1+Tab_ERA37[[#Headers],[7%]]),2) &amp; "€"</f>
        <v>+448,2€
            6851,09€</v>
      </c>
      <c r="P39" s="12" t="str">
        <f>"+" &amp; ROUND($C39*Tab_ERA37[[#Headers],[7%]],2) &amp; "€
            " &amp; ROUND($C39*(1+Tab_ERA37[[#Headers],[7%]]),2) &amp; "€"</f>
        <v>+448,2€
            6851,09€</v>
      </c>
      <c r="Q39" s="12" t="str">
        <f>"+" &amp; ROUND($C39*Tab_ERA37[[#Headers],[8%]],2) &amp; "€
            " &amp; ROUND($C39*(1+Tab_ERA37[[#Headers],[8%]]),2) &amp; "€"</f>
        <v>+512,23€
            6915,11€</v>
      </c>
      <c r="R39" s="12" t="str">
        <f>"+" &amp; ROUND($C39*Tab_ERA37[[#Headers],[8%]],2) &amp; "€
            " &amp; ROUND($C39*(1+Tab_ERA37[[#Headers],[8%]]),2) &amp; "€"</f>
        <v>+512,23€
            6915,11€</v>
      </c>
      <c r="S39" s="12" t="str">
        <f>"+" &amp; ROUND($C39*Tab_ERA37[[#Headers],[9%]],2) &amp; "€
            " &amp; ROUND($C39*(1+Tab_ERA37[[#Headers],[9%]]),2) &amp; "€"</f>
        <v>+576,26€
            6979,14€</v>
      </c>
      <c r="T39" s="12" t="str">
        <f>"+" &amp; ROUND($C39*Tab_ERA37[[#Headers],[9%]],2) &amp; "€
            " &amp; ROUND($C39*(1+Tab_ERA37[[#Headers],[9%]]),2) &amp; "€"</f>
        <v>+576,26€
            6979,14€</v>
      </c>
      <c r="U39" s="12" t="str">
        <f>"+" &amp; ROUND($C39*Tab_ERA37[[#Headers],[10%]],2) &amp; "€
            " &amp; ROUND($C39*(1+Tab_ERA37[[#Headers],[10%]]),2) &amp; "€"</f>
        <v>+640,29€
            7043,17€</v>
      </c>
      <c r="V39" s="12" t="str">
        <f>"+" &amp; ROUND($C39*Tab_ERA37[[#Headers],[10%]],2) &amp; "€
            " &amp; ROUND($C39*(1+Tab_ERA37[[#Headers],[10%]]),2) &amp; "€"</f>
        <v>+640,29€
            7043,17€</v>
      </c>
      <c r="W39" s="12" t="str">
        <f>"+" &amp; ROUND($C39*Tab_ERA37[[#Headers],[11%]],2) &amp; "€
            " &amp; ROUND($C39*(1+Tab_ERA37[[#Headers],[11%]]),2) &amp; "€"</f>
        <v>+704,32€
            7107,2€</v>
      </c>
      <c r="X39" s="12" t="str">
        <f>"+" &amp; ROUND($C39*Tab_ERA37[[#Headers],[11%]],2) &amp; "€
            " &amp; ROUND($C39*(1+Tab_ERA37[[#Headers],[11%]]),2) &amp; "€"</f>
        <v>+704,32€
            7107,2€</v>
      </c>
      <c r="Y39" s="12" t="str">
        <f>"+" &amp; ROUND($C39*Tab_ERA37[[#Headers],[12%]],2) &amp; "€
            " &amp; ROUND($C39*(1+Tab_ERA37[[#Headers],[12%]]),2) &amp; "€"</f>
        <v>+768,35€
            7171,23€</v>
      </c>
      <c r="Z39" s="12" t="str">
        <f>"+" &amp; ROUND($C39*Tab_ERA37[[#Headers],[12%]],2) &amp; "€
            " &amp; ROUND($C39*(1+Tab_ERA37[[#Headers],[12%]]),2) &amp; "€"</f>
        <v>+768,35€
            7171,23€</v>
      </c>
      <c r="AA39" s="12" t="str">
        <f>"+" &amp; ROUND($C39*Tab_ERA37[[#Headers],[13%]],2) &amp; "€
            " &amp; ROUND($C39*(1+Tab_ERA37[[#Headers],[13%]]),2) &amp; "€"</f>
        <v>+832,37€
            7235,26€</v>
      </c>
      <c r="AB39" s="12" t="str">
        <f>"+" &amp; ROUND($C39*Tab_ERA37[[#Headers],[13%]],2) &amp; "€
            " &amp; ROUND($C39*(1+Tab_ERA37[[#Headers],[13%]]),2) &amp; "€"</f>
        <v>+832,37€
            7235,26€</v>
      </c>
      <c r="AC39" s="12" t="str">
        <f>"+" &amp; ROUND($C39*Tab_ERA37[[#Headers],[14%]],2) &amp; "€
            " &amp; ROUND($C39*(1+Tab_ERA37[[#Headers],[14%]]),2) &amp; "€"</f>
        <v>+896,4€
            7299,29€</v>
      </c>
      <c r="AD39" s="12" t="str">
        <f>"+" &amp; ROUND($C39*Tab_ERA37[[#Headers],[14%]],2) &amp; "€
            " &amp; ROUND($C39*(1+Tab_ERA37[[#Headers],[14%]]),2) &amp; "€"</f>
        <v>+896,4€
            7299,29€</v>
      </c>
      <c r="AE39" s="12" t="str">
        <f>"+" &amp; ROUND($C39*Tab_ERA37[[#Headers],[15%]],2) &amp; "€
            " &amp; ROUND($C39*(1+Tab_ERA37[[#Headers],[15%]]),2) &amp; "€"</f>
        <v>+960,43€
            7363,32€</v>
      </c>
      <c r="AF39" s="12" t="str">
        <f>"+" &amp; ROUND($C39*Tab_ERA37[[#Headers],[15%]],2) &amp; "€
            " &amp; ROUND($C39*(1+Tab_ERA37[[#Headers],[15%]]),2) &amp; "€"</f>
        <v>+960,43€
            7363,32€</v>
      </c>
      <c r="AG39" s="12" t="str">
        <f>"+" &amp; ROUND($C39*Tab_ERA37[[#Headers],[16%]],2) &amp; "€
            " &amp; ROUND($C39*(1+Tab_ERA37[[#Headers],[16%]]),2) &amp; "€"</f>
        <v>+1024,46€
            7427,35€</v>
      </c>
    </row>
    <row r="40" spans="1:33" ht="41.4" x14ac:dyDescent="0.3">
      <c r="A40" s="4" t="s">
        <v>85</v>
      </c>
      <c r="B40" s="5">
        <v>1.865</v>
      </c>
      <c r="C40" s="6">
        <f t="shared" si="0"/>
        <v>6765.7527272727275</v>
      </c>
      <c r="D40" s="12" t="str">
        <f>"+" &amp; ROUND($C40*Tab_ERA37[[#Headers],[1%]],2) &amp; "€
            " &amp; ROUND($C40*(1+Tab_ERA37[[#Headers],[1%]]),2) &amp; "€"</f>
        <v>+67,66€
            6833,41€</v>
      </c>
      <c r="E40" s="12" t="str">
        <f>"+" &amp; ROUND($C40*Tab_ERA37[[#Headers],[2%]],2) &amp; "€
            " &amp; ROUND($C40*(1+Tab_ERA37[[#Headers],[2%]]),2) &amp; "€"</f>
        <v>+135,32€
            6901,07€</v>
      </c>
      <c r="F40" s="12" t="str">
        <f>"+" &amp; ROUND($C40*Tab_ERA37[[#Headers],[2%]],2) &amp; "€
            " &amp; ROUND($C40*(1+Tab_ERA37[[#Headers],[2%]]),2) &amp; "€"</f>
        <v>+135,32€
            6901,07€</v>
      </c>
      <c r="G40" s="12" t="str">
        <f>"+" &amp; ROUND($C40*Tab_ERA37[[#Headers],[3%]],2) &amp; "€
            " &amp; ROUND($C40*(1+Tab_ERA37[[#Headers],[3%]]),2) &amp; "€"</f>
        <v>+202,97€
            6968,73€</v>
      </c>
      <c r="H40" s="12" t="str">
        <f>"+" &amp; ROUND($C40*Tab_ERA37[[#Headers],[3%]],2) &amp; "€
            " &amp; ROUND($C40*(1+Tab_ERA37[[#Headers],[3%]]),2) &amp; "€"</f>
        <v>+202,97€
            6968,73€</v>
      </c>
      <c r="I40" s="12" t="str">
        <f>"+" &amp; ROUND($C40*Tab_ERA37[[#Headers],[4%]],2) &amp; "€
            " &amp; ROUND($C40*(1+Tab_ERA37[[#Headers],[4%]]),2) &amp; "€"</f>
        <v>+270,63€
            7036,38€</v>
      </c>
      <c r="J40" s="12" t="str">
        <f>"+" &amp; ROUND($C40*Tab_ERA37[[#Headers],[4%]],2) &amp; "€
            " &amp; ROUND($C40*(1+Tab_ERA37[[#Headers],[4%]]),2) &amp; "€"</f>
        <v>+270,63€
            7036,38€</v>
      </c>
      <c r="K40" s="12" t="str">
        <f>"+" &amp; ROUND($C40*Tab_ERA37[[#Headers],[5%]],2) &amp; "€
            " &amp; ROUND($C40*(1+Tab_ERA37[[#Headers],[5%]]),2) &amp; "€"</f>
        <v>+338,29€
            7104,04€</v>
      </c>
      <c r="L40" s="12" t="str">
        <f>"+" &amp; ROUND($C40*Tab_ERA37[[#Headers],[5%]],2) &amp; "€
            " &amp; ROUND($C40*(1+Tab_ERA37[[#Headers],[5%]]),2) &amp; "€"</f>
        <v>+338,29€
            7104,04€</v>
      </c>
      <c r="M40" s="12" t="str">
        <f>"+" &amp; ROUND($C40*Tab_ERA37[[#Headers],[6%]],2) &amp; "€
            " &amp; ROUND($C40*(1+Tab_ERA37[[#Headers],[6%]]),2) &amp; "€"</f>
        <v>+405,95€
            7171,7€</v>
      </c>
      <c r="N40" s="12" t="str">
        <f>"+" &amp; ROUND($C40*Tab_ERA37[[#Headers],[6%]],2) &amp; "€
            " &amp; ROUND($C40*(1+Tab_ERA37[[#Headers],[6%]]),2) &amp; "€"</f>
        <v>+405,95€
            7171,7€</v>
      </c>
      <c r="O40" s="12" t="str">
        <f>"+" &amp; ROUND($C40*Tab_ERA37[[#Headers],[7%]],2) &amp; "€
            " &amp; ROUND($C40*(1+Tab_ERA37[[#Headers],[7%]]),2) &amp; "€"</f>
        <v>+473,6€
            7239,36€</v>
      </c>
      <c r="P40" s="12" t="str">
        <f>"+" &amp; ROUND($C40*Tab_ERA37[[#Headers],[7%]],2) &amp; "€
            " &amp; ROUND($C40*(1+Tab_ERA37[[#Headers],[7%]]),2) &amp; "€"</f>
        <v>+473,6€
            7239,36€</v>
      </c>
      <c r="Q40" s="12" t="str">
        <f>"+" &amp; ROUND($C40*Tab_ERA37[[#Headers],[8%]],2) &amp; "€
            " &amp; ROUND($C40*(1+Tab_ERA37[[#Headers],[8%]]),2) &amp; "€"</f>
        <v>+541,26€
            7307,01€</v>
      </c>
      <c r="R40" s="12" t="str">
        <f>"+" &amp; ROUND($C40*Tab_ERA37[[#Headers],[8%]],2) &amp; "€
            " &amp; ROUND($C40*(1+Tab_ERA37[[#Headers],[8%]]),2) &amp; "€"</f>
        <v>+541,26€
            7307,01€</v>
      </c>
      <c r="S40" s="12" t="str">
        <f>"+" &amp; ROUND($C40*Tab_ERA37[[#Headers],[9%]],2) &amp; "€
            " &amp; ROUND($C40*(1+Tab_ERA37[[#Headers],[9%]]),2) &amp; "€"</f>
        <v>+608,92€
            7374,67€</v>
      </c>
      <c r="T40" s="12" t="str">
        <f>"+" &amp; ROUND($C40*Tab_ERA37[[#Headers],[9%]],2) &amp; "€
            " &amp; ROUND($C40*(1+Tab_ERA37[[#Headers],[9%]]),2) &amp; "€"</f>
        <v>+608,92€
            7374,67€</v>
      </c>
      <c r="U40" s="12" t="str">
        <f>"+" &amp; ROUND($C40*Tab_ERA37[[#Headers],[10%]],2) &amp; "€
            " &amp; ROUND($C40*(1+Tab_ERA37[[#Headers],[10%]]),2) &amp; "€"</f>
        <v>+676,58€
            7442,33€</v>
      </c>
      <c r="V40" s="12" t="str">
        <f>"+" &amp; ROUND($C40*Tab_ERA37[[#Headers],[10%]],2) &amp; "€
            " &amp; ROUND($C40*(1+Tab_ERA37[[#Headers],[10%]]),2) &amp; "€"</f>
        <v>+676,58€
            7442,33€</v>
      </c>
      <c r="W40" s="12" t="str">
        <f>"+" &amp; ROUND($C40*Tab_ERA37[[#Headers],[11%]],2) &amp; "€
            " &amp; ROUND($C40*(1+Tab_ERA37[[#Headers],[11%]]),2) &amp; "€"</f>
        <v>+744,23€
            7509,99€</v>
      </c>
      <c r="X40" s="12" t="str">
        <f>"+" &amp; ROUND($C40*Tab_ERA37[[#Headers],[11%]],2) &amp; "€
            " &amp; ROUND($C40*(1+Tab_ERA37[[#Headers],[11%]]),2) &amp; "€"</f>
        <v>+744,23€
            7509,99€</v>
      </c>
      <c r="Y40" s="12" t="str">
        <f>"+" &amp; ROUND($C40*Tab_ERA37[[#Headers],[12%]],2) &amp; "€
            " &amp; ROUND($C40*(1+Tab_ERA37[[#Headers],[12%]]),2) &amp; "€"</f>
        <v>+811,89€
            7577,64€</v>
      </c>
      <c r="Z40" s="12" t="str">
        <f>"+" &amp; ROUND($C40*Tab_ERA37[[#Headers],[12%]],2) &amp; "€
            " &amp; ROUND($C40*(1+Tab_ERA37[[#Headers],[12%]]),2) &amp; "€"</f>
        <v>+811,89€
            7577,64€</v>
      </c>
      <c r="AA40" s="12" t="str">
        <f>"+" &amp; ROUND($C40*Tab_ERA37[[#Headers],[13%]],2) &amp; "€
            " &amp; ROUND($C40*(1+Tab_ERA37[[#Headers],[13%]]),2) &amp; "€"</f>
        <v>+879,55€
            7645,3€</v>
      </c>
      <c r="AB40" s="12" t="str">
        <f>"+" &amp; ROUND($C40*Tab_ERA37[[#Headers],[13%]],2) &amp; "€
            " &amp; ROUND($C40*(1+Tab_ERA37[[#Headers],[13%]]),2) &amp; "€"</f>
        <v>+879,55€
            7645,3€</v>
      </c>
      <c r="AC40" s="12" t="str">
        <f>"+" &amp; ROUND($C40*Tab_ERA37[[#Headers],[14%]],2) &amp; "€
            " &amp; ROUND($C40*(1+Tab_ERA37[[#Headers],[14%]]),2) &amp; "€"</f>
        <v>+947,21€
            7712,96€</v>
      </c>
      <c r="AD40" s="12" t="str">
        <f>"+" &amp; ROUND($C40*Tab_ERA37[[#Headers],[14%]],2) &amp; "€
            " &amp; ROUND($C40*(1+Tab_ERA37[[#Headers],[14%]]),2) &amp; "€"</f>
        <v>+947,21€
            7712,96€</v>
      </c>
      <c r="AE40" s="12" t="str">
        <f>"+" &amp; ROUND($C40*Tab_ERA37[[#Headers],[15%]],2) &amp; "€
            " &amp; ROUND($C40*(1+Tab_ERA37[[#Headers],[15%]]),2) &amp; "€"</f>
        <v>+1014,86€
            7780,62€</v>
      </c>
      <c r="AF40" s="12" t="str">
        <f>"+" &amp; ROUND($C40*Tab_ERA37[[#Headers],[15%]],2) &amp; "€
            " &amp; ROUND($C40*(1+Tab_ERA37[[#Headers],[15%]]),2) &amp; "€"</f>
        <v>+1014,86€
            7780,62€</v>
      </c>
      <c r="AG40" s="12" t="str">
        <f>"+" &amp; ROUND($C40*Tab_ERA37[[#Headers],[16%]],2) &amp; "€
            " &amp; ROUND($C40*(1+Tab_ERA37[[#Headers],[16%]]),2) &amp; "€"</f>
        <v>+1082,52€
            7848,27€</v>
      </c>
    </row>
  </sheetData>
  <mergeCells count="3">
    <mergeCell ref="A2:C2"/>
    <mergeCell ref="A1:B1"/>
    <mergeCell ref="A22:C22"/>
  </mergeCells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Entgeltvergleich</vt:lpstr>
      <vt:lpstr>Arbeitsplatzbeschreibung </vt:lpstr>
      <vt:lpstr>Jahreseinkommen</vt:lpstr>
      <vt:lpstr>Schichtzulagen</vt:lpstr>
      <vt:lpstr>LeiV-Entgelttabelle</vt:lpstr>
      <vt:lpstr>ERA-Entgelttabelle</vt:lpstr>
    </vt:vector>
  </TitlesOfParts>
  <Company>IG Metall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Kielhorn, Dustin</dc:creator>
  <cp:lastModifiedBy>Andreas Schmetzer</cp:lastModifiedBy>
  <cp:lastPrinted>2025-02-10T09:58:11Z</cp:lastPrinted>
  <dcterms:created xsi:type="dcterms:W3CDTF">2023-02-24T07:27:55Z</dcterms:created>
  <dcterms:modified xsi:type="dcterms:W3CDTF">2025-02-10T10:02:18Z</dcterms:modified>
</cp:coreProperties>
</file>